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poncho-pancho/iCloud Drive (Archive)/Documents/iCloud Drive (Archive)/Documents/Documents - Rosario’s MacBook Pro/Documents/PhD VT_6_Feb_2012/phd virginia tech/articles/Leonid diffusive Vesuvius/Article_volatile_Vesuv_Leonid/EurJlMin_Vesuvius_2023/Supplement files_EspositoetalVesuvius_1May2023/"/>
    </mc:Choice>
  </mc:AlternateContent>
  <xr:revisionPtr revIDLastSave="0" documentId="13_ncr:1_{8E77C432-3555-4A46-916B-DCA95145E26A}" xr6:coauthVersionLast="47" xr6:coauthVersionMax="47" xr10:uidLastSave="{00000000-0000-0000-0000-000000000000}"/>
  <bookViews>
    <workbookView xWindow="0" yWindow="500" windowWidth="28800" windowHeight="17500" xr2:uid="{D5C7B9B4-4EF4-AE42-A12B-9D73A756464E}"/>
  </bookViews>
  <sheets>
    <sheet name="H2O correction and MafiCH press" sheetId="1" r:id="rId1"/>
    <sheet name="H-diffusive experi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20" i="1" l="1"/>
  <c r="AK20" i="1"/>
  <c r="AJ18" i="1"/>
  <c r="AK18" i="1"/>
  <c r="AJ17" i="1"/>
  <c r="AK17" i="1"/>
  <c r="AJ16" i="1"/>
  <c r="AK16" i="1"/>
  <c r="AJ15" i="1"/>
  <c r="AK15" i="1"/>
  <c r="AJ14" i="1"/>
  <c r="AK14" i="1"/>
  <c r="AJ13" i="1"/>
  <c r="AK13" i="1"/>
  <c r="AJ12" i="1"/>
  <c r="AK12" i="1"/>
  <c r="AJ11" i="1"/>
  <c r="AK11" i="1"/>
  <c r="AJ10" i="1"/>
  <c r="AK10" i="1"/>
  <c r="AJ9" i="1"/>
  <c r="AK9" i="1"/>
  <c r="AJ8" i="1"/>
  <c r="AK8" i="1"/>
  <c r="AJ6" i="1"/>
  <c r="AK6" i="1"/>
  <c r="AJ7" i="1"/>
  <c r="AK7" i="1"/>
  <c r="AJ5" i="1"/>
  <c r="AK5" i="1"/>
  <c r="AJ4" i="1"/>
  <c r="AK4" i="1"/>
  <c r="AK19" i="1"/>
  <c r="AK3" i="1"/>
  <c r="AJ19" i="1"/>
  <c r="AJ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4" i="1"/>
  <c r="AE3" i="1"/>
  <c r="AF3" i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3" i="2"/>
  <c r="E15" i="1"/>
  <c r="E7" i="1"/>
  <c r="G7" i="1"/>
  <c r="E8" i="1"/>
  <c r="G8" i="1"/>
  <c r="E3" i="1"/>
  <c r="E4" i="1"/>
  <c r="E5" i="1"/>
  <c r="E6" i="1"/>
  <c r="E9" i="1"/>
  <c r="E10" i="1"/>
  <c r="E11" i="1"/>
  <c r="E12" i="1"/>
  <c r="E13" i="1"/>
  <c r="E14" i="1"/>
  <c r="E16" i="1"/>
  <c r="E17" i="1"/>
  <c r="E18" i="1"/>
  <c r="E19" i="1"/>
  <c r="E20" i="1"/>
  <c r="G19" i="1"/>
  <c r="G12" i="1"/>
  <c r="G20" i="1"/>
  <c r="I20" i="1"/>
  <c r="J20" i="1"/>
  <c r="I19" i="1"/>
  <c r="J19" i="1"/>
  <c r="G18" i="1"/>
  <c r="I18" i="1"/>
  <c r="J18" i="1"/>
  <c r="G17" i="1"/>
  <c r="I17" i="1"/>
  <c r="J17" i="1"/>
  <c r="G16" i="1"/>
  <c r="I16" i="1"/>
  <c r="J16" i="1"/>
  <c r="G15" i="1"/>
  <c r="I15" i="1"/>
  <c r="J15" i="1"/>
  <c r="G14" i="1"/>
  <c r="I14" i="1"/>
  <c r="J14" i="1"/>
  <c r="G13" i="1"/>
  <c r="I13" i="1"/>
  <c r="J13" i="1"/>
  <c r="I12" i="1"/>
  <c r="J12" i="1"/>
  <c r="G11" i="1"/>
  <c r="I11" i="1"/>
  <c r="J11" i="1"/>
  <c r="G10" i="1"/>
  <c r="I10" i="1"/>
  <c r="J10" i="1"/>
  <c r="G9" i="1"/>
  <c r="I9" i="1"/>
  <c r="J9" i="1"/>
  <c r="I8" i="1"/>
  <c r="J8" i="1"/>
  <c r="I7" i="1"/>
  <c r="J7" i="1"/>
  <c r="G6" i="1"/>
  <c r="I6" i="1"/>
  <c r="J6" i="1"/>
  <c r="G5" i="1"/>
  <c r="I5" i="1"/>
  <c r="J5" i="1"/>
  <c r="G4" i="1"/>
  <c r="I4" i="1"/>
  <c r="J4" i="1"/>
  <c r="G3" i="1"/>
  <c r="I3" i="1"/>
  <c r="J3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5" i="1"/>
  <c r="F6" i="1"/>
  <c r="F4" i="1"/>
  <c r="F3" i="1"/>
  <c r="K14" i="2"/>
  <c r="K11" i="2"/>
  <c r="K3" i="2"/>
  <c r="K19" i="2"/>
  <c r="K17" i="2"/>
  <c r="K16" i="2"/>
  <c r="K13" i="2"/>
  <c r="K6" i="2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I20" i="2"/>
  <c r="J20" i="2"/>
  <c r="H20" i="2"/>
  <c r="K20" i="2"/>
  <c r="I19" i="2"/>
  <c r="J19" i="2"/>
  <c r="H19" i="2"/>
  <c r="I18" i="2"/>
  <c r="J18" i="2"/>
  <c r="H18" i="2"/>
  <c r="I17" i="2"/>
  <c r="J17" i="2"/>
  <c r="H17" i="2"/>
  <c r="I16" i="2"/>
  <c r="J16" i="2"/>
  <c r="H16" i="2"/>
  <c r="I15" i="2"/>
  <c r="J15" i="2"/>
  <c r="H15" i="2"/>
  <c r="I14" i="2"/>
  <c r="J14" i="2"/>
  <c r="H14" i="2"/>
  <c r="I13" i="2"/>
  <c r="J13" i="2"/>
  <c r="H13" i="2"/>
  <c r="I12" i="2"/>
  <c r="J12" i="2"/>
  <c r="H12" i="2"/>
  <c r="I11" i="2"/>
  <c r="J11" i="2"/>
  <c r="H11" i="2"/>
  <c r="I10" i="2"/>
  <c r="J10" i="2"/>
  <c r="H10" i="2"/>
  <c r="I9" i="2"/>
  <c r="J9" i="2"/>
  <c r="H9" i="2"/>
  <c r="I8" i="2"/>
  <c r="J8" i="2"/>
  <c r="H8" i="2"/>
  <c r="I7" i="2"/>
  <c r="J7" i="2"/>
  <c r="H7" i="2"/>
  <c r="I6" i="2"/>
  <c r="J6" i="2"/>
  <c r="H6" i="2"/>
  <c r="I5" i="2"/>
  <c r="J5" i="2"/>
  <c r="H5" i="2"/>
  <c r="I4" i="2"/>
  <c r="J4" i="2"/>
  <c r="H4" i="2"/>
  <c r="I3" i="2"/>
  <c r="J3" i="2"/>
  <c r="H3" i="2"/>
  <c r="K19" i="1"/>
  <c r="K15" i="1"/>
  <c r="K12" i="1"/>
  <c r="K9" i="1"/>
  <c r="K8" i="1"/>
  <c r="K7" i="1"/>
</calcChain>
</file>

<file path=xl/sharedStrings.xml><?xml version="1.0" encoding="utf-8"?>
<sst xmlns="http://schemas.openxmlformats.org/spreadsheetml/2006/main" count="263" uniqueCount="157">
  <si>
    <t>SAMP_NO</t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</si>
  <si>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</si>
  <si>
    <r>
      <t>CO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 restored</t>
    </r>
  </si>
  <si>
    <t>Fo host</t>
  </si>
  <si>
    <t>F</t>
  </si>
  <si>
    <t>S</t>
  </si>
  <si>
    <t>Cl</t>
  </si>
  <si>
    <t xml:space="preserve">  MnO</t>
  </si>
  <si>
    <t xml:space="preserve">  MgO</t>
  </si>
  <si>
    <t xml:space="preserve">  CaO</t>
  </si>
  <si>
    <t>depths (km)</t>
  </si>
  <si>
    <t>LFL2_D44_3_2_average</t>
  </si>
  <si>
    <t>LM8_D57_4_4_average</t>
  </si>
  <si>
    <t>SCL12_7_1_average</t>
  </si>
  <si>
    <t>SCL14_D49_5_3_M1_average</t>
  </si>
  <si>
    <t>SCL14_D49_5_3_M2_average</t>
  </si>
  <si>
    <t>P2_D53_4_4</t>
  </si>
  <si>
    <t xml:space="preserve">P1_D50_2_1_average      </t>
  </si>
  <si>
    <t>SCL12_3_3_MS_average</t>
  </si>
  <si>
    <t xml:space="preserve">P1_D49_2_5_average        </t>
  </si>
  <si>
    <t>R6_D54_4_2_average</t>
  </si>
  <si>
    <t>P1_D50_1_4_average</t>
  </si>
  <si>
    <t>P1_D49_2_7_average</t>
  </si>
  <si>
    <t>SCL14_D49_5_4_M1_average</t>
  </si>
  <si>
    <t>P2_D53_4_1</t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</si>
  <si>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O-correction after post eruption diffusion</t>
    </r>
  </si>
  <si>
    <t>LFL1_D38_2_10_M1_average</t>
  </si>
  <si>
    <t>LFL1_D38_2_10_M2</t>
  </si>
  <si>
    <t>LFL2_D44_4_1_average</t>
  </si>
  <si>
    <t>LFL2_D44_1_1_average</t>
  </si>
  <si>
    <t>P1_D50_1_8_M1_average</t>
  </si>
  <si>
    <t>P1_D50_1_8_M6_average</t>
  </si>
  <si>
    <t>P2_D53_3_6_average</t>
  </si>
  <si>
    <t>SCL14_D92_3_1_average</t>
  </si>
  <si>
    <t>SCL14_6_2_average</t>
  </si>
  <si>
    <t>SCL14_5_9_average</t>
  </si>
  <si>
    <t>average diameter MI</t>
  </si>
  <si>
    <t>CORR_COEF for PEC</t>
  </si>
  <si>
    <t>MI ID</t>
  </si>
  <si>
    <t>Tquenching</t>
  </si>
  <si>
    <t>Kol</t>
  </si>
  <si>
    <t>Fo-rich MI</t>
  </si>
  <si>
    <t>Fo-poor MI</t>
  </si>
  <si>
    <t>SCL14-D49-5-3-M1</t>
  </si>
  <si>
    <t>SCL14-D49-5-3-M2</t>
  </si>
  <si>
    <t>SCL12-7-1</t>
  </si>
  <si>
    <t>SCL12-3-3-MS</t>
  </si>
  <si>
    <t>SCL14-D49-5-4-M1</t>
  </si>
  <si>
    <t>P1-D50-2-1</t>
  </si>
  <si>
    <t>P1D49-2-5</t>
  </si>
  <si>
    <t>P1-D50-1-4</t>
  </si>
  <si>
    <t>H-diffusive reequilibration during heating experiments</t>
  </si>
  <si>
    <t>re-equilibration %</t>
  </si>
  <si>
    <t>Vs98a_56</t>
  </si>
  <si>
    <t>MI6</t>
  </si>
  <si>
    <t>MI11a</t>
  </si>
  <si>
    <t>MI18</t>
  </si>
  <si>
    <t>Vs98a_52</t>
  </si>
  <si>
    <t>MI2</t>
  </si>
  <si>
    <t>MI4</t>
  </si>
  <si>
    <t>MI8</t>
  </si>
  <si>
    <t>VS1906</t>
  </si>
  <si>
    <t>VSV19 O11</t>
  </si>
  <si>
    <t>VSV19 O13</t>
  </si>
  <si>
    <t>VSV19 O15-6</t>
  </si>
  <si>
    <t>VSV19 O18</t>
  </si>
  <si>
    <t>VSV19 O112</t>
  </si>
  <si>
    <t>VSV19 O113</t>
  </si>
  <si>
    <t>VSN928 O14</t>
  </si>
  <si>
    <t>VS97-109</t>
  </si>
  <si>
    <t>VSN928 Ol10</t>
  </si>
  <si>
    <t>Vs00_30</t>
  </si>
  <si>
    <t>VSN928 O11</t>
  </si>
  <si>
    <t>VSN928 Oll</t>
  </si>
  <si>
    <t>VSN928 O16</t>
  </si>
  <si>
    <t>Marianelli et al. (2005), Marianelli et al. (1999) and Marianelli et al. (1995)</t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</si>
  <si>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O-correction after PEC and H-loss</t>
    </r>
  </si>
  <si>
    <r>
      <t>CO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 PEC-corrected</t>
    </r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</si>
  <si>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O-correction after PEC </t>
    </r>
  </si>
  <si>
    <r>
      <t xml:space="preserve"> SiO</t>
    </r>
    <r>
      <rPr>
        <vertAlign val="subscript"/>
        <sz val="12"/>
        <color theme="1"/>
        <rFont val="Calibri (Body)"/>
      </rPr>
      <t>2</t>
    </r>
  </si>
  <si>
    <r>
      <t xml:space="preserve"> TiO</t>
    </r>
    <r>
      <rPr>
        <vertAlign val="subscript"/>
        <sz val="12"/>
        <color theme="1"/>
        <rFont val="Calibri (Body)"/>
      </rPr>
      <t>2</t>
    </r>
  </si>
  <si>
    <r>
      <t>Al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3</t>
    </r>
  </si>
  <si>
    <r>
      <t xml:space="preserve"> Na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</si>
  <si>
    <r>
      <t xml:space="preserve">  K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</si>
  <si>
    <r>
      <t xml:space="preserve"> P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5</t>
    </r>
  </si>
  <si>
    <r>
      <t>Cr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3</t>
    </r>
  </si>
  <si>
    <r>
      <t>P bars H</t>
    </r>
    <r>
      <rPr>
        <vertAlign val="subscript"/>
        <sz val="12"/>
        <color rgb="FFFF0000"/>
        <rFont val="Calibri (Body)"/>
      </rPr>
      <t>2</t>
    </r>
    <r>
      <rPr>
        <sz val="12"/>
        <color rgb="FFFF0000"/>
        <rFont val="Calibri"/>
        <family val="2"/>
        <scheme val="minor"/>
      </rPr>
      <t>O-CO</t>
    </r>
    <r>
      <rPr>
        <vertAlign val="subscript"/>
        <sz val="12"/>
        <color rgb="FFFF0000"/>
        <rFont val="Calibri (Body)"/>
      </rPr>
      <t>2</t>
    </r>
    <r>
      <rPr>
        <sz val="12"/>
        <color rgb="FFFF0000"/>
        <rFont val="Calibri"/>
        <family val="2"/>
        <scheme val="minor"/>
      </rPr>
      <t xml:space="preserve">  corrected (Mafic)</t>
    </r>
  </si>
  <si>
    <r>
      <t>xH</t>
    </r>
    <r>
      <rPr>
        <vertAlign val="subscript"/>
        <sz val="12"/>
        <color rgb="FFFF0000"/>
        <rFont val="Calibri (Body)"/>
      </rPr>
      <t>2</t>
    </r>
    <r>
      <rPr>
        <sz val="12"/>
        <color rgb="FFFF0000"/>
        <rFont val="Calibri"/>
        <family val="2"/>
        <scheme val="minor"/>
      </rPr>
      <t>O (fluid)</t>
    </r>
  </si>
  <si>
    <t>FeO</t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</si>
  <si>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 after H-loss and bubble</t>
    </r>
  </si>
  <si>
    <t>wt%</t>
  </si>
  <si>
    <t>µm</t>
  </si>
  <si>
    <t>Units</t>
  </si>
  <si>
    <t>ppm</t>
  </si>
  <si>
    <t>mole%</t>
  </si>
  <si>
    <t>molar fraction</t>
  </si>
  <si>
    <t>depths</t>
  </si>
  <si>
    <t>km</t>
  </si>
  <si>
    <t>depth assuming 260 bar/km</t>
  </si>
  <si>
    <t>*wt% relative to the total MI mass</t>
  </si>
  <si>
    <r>
      <t>*H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O-loss post-eruption</t>
    </r>
  </si>
  <si>
    <r>
      <t>*H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 concentration of the bubble</t>
    </r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</si>
  <si>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 MI</t>
    </r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</si>
  <si>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 restored</t>
    </r>
  </si>
  <si>
    <t xml:space="preserve">wt% </t>
  </si>
  <si>
    <t>density oli</t>
  </si>
  <si>
    <t>density melt</t>
  </si>
  <si>
    <t>density ratio 1.2</t>
  </si>
  <si>
    <t>τ</t>
  </si>
  <si>
    <t>MI diameter</t>
  </si>
  <si>
    <t>α</t>
  </si>
  <si>
    <t xml:space="preserve"> host radius</t>
  </si>
  <si>
    <t>MI radius</t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</si>
  <si>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O-correction after experiment</t>
    </r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</si>
  <si>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O-loss durin heating experiment</t>
    </r>
  </si>
  <si>
    <r>
      <t>D fo (cm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/s)</t>
    </r>
  </si>
  <si>
    <r>
      <t>$</t>
    </r>
    <r>
      <rPr>
        <sz val="12"/>
        <color theme="1"/>
        <rFont val="Calibri (Body)"/>
      </rPr>
      <t>From H-diffusive experiments worksheet column L</t>
    </r>
  </si>
  <si>
    <r>
      <t>P H</t>
    </r>
    <r>
      <rPr>
        <vertAlign val="subscript"/>
        <sz val="12"/>
        <color rgb="FFFF0000"/>
        <rFont val="Calibri (Body)"/>
      </rPr>
      <t>2</t>
    </r>
    <r>
      <rPr>
        <sz val="12"/>
        <color rgb="FFFF0000"/>
        <rFont val="Calibri"/>
        <family val="2"/>
        <scheme val="minor"/>
      </rPr>
      <t>O-CO</t>
    </r>
    <r>
      <rPr>
        <vertAlign val="subscript"/>
        <sz val="12"/>
        <color rgb="FFFF0000"/>
        <rFont val="Calibri (Body)"/>
      </rPr>
      <t>2</t>
    </r>
    <r>
      <rPr>
        <sz val="12"/>
        <color rgb="FFFF0000"/>
        <rFont val="Calibri"/>
        <family val="2"/>
        <scheme val="minor"/>
      </rPr>
      <t xml:space="preserve">  corrected MagmaSat</t>
    </r>
  </si>
  <si>
    <t>±45</t>
  </si>
  <si>
    <t>±46</t>
  </si>
  <si>
    <t>±5</t>
  </si>
  <si>
    <t>±12</t>
  </si>
  <si>
    <t>±13</t>
  </si>
  <si>
    <t>±77</t>
  </si>
  <si>
    <t>±6</t>
  </si>
  <si>
    <t>±23</t>
  </si>
  <si>
    <t>±11</t>
  </si>
  <si>
    <t>±39</t>
  </si>
  <si>
    <t>±31</t>
  </si>
  <si>
    <t>±8</t>
  </si>
  <si>
    <t>SCL14_D92_3_1</t>
  </si>
  <si>
    <t>LFL2_D44_3_2</t>
  </si>
  <si>
    <t>LM8_D57_4_4</t>
  </si>
  <si>
    <t>LFL2_D44_1_1</t>
  </si>
  <si>
    <t>R6_D54_4_2</t>
  </si>
  <si>
    <t>P1_D49_2_7</t>
  </si>
  <si>
    <t>P1_D50_1_8_M1</t>
  </si>
  <si>
    <t>P1_D50_1_8_M6</t>
  </si>
  <si>
    <t>bubble-bearing</t>
  </si>
  <si>
    <t>bubble-free</t>
  </si>
  <si>
    <r>
      <t>P 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O-CO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  corrected (Mafic)</t>
    </r>
  </si>
  <si>
    <r>
      <t>xH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 (fluid)</t>
    </r>
  </si>
  <si>
    <t>MPa</t>
  </si>
  <si>
    <t>±18</t>
  </si>
  <si>
    <t>±66</t>
  </si>
  <si>
    <t>error bubble content</t>
  </si>
  <si>
    <t>SCL12_7_1</t>
  </si>
  <si>
    <t>SCL14_D49_5_3_M1</t>
  </si>
  <si>
    <t>SCL14_D49_5_3_M2</t>
  </si>
  <si>
    <t xml:space="preserve">P1_D50_2_1   </t>
  </si>
  <si>
    <t>SCL12_3_3_MS</t>
  </si>
  <si>
    <t xml:space="preserve">P1_D49_2_5       </t>
  </si>
  <si>
    <t>P1_D50_1_4</t>
  </si>
  <si>
    <t>SCL14_D49_5_4_M1</t>
  </si>
  <si>
    <t>±37</t>
  </si>
  <si>
    <t>type of reheated MI</t>
  </si>
  <si>
    <r>
      <t>*</t>
    </r>
    <r>
      <rPr>
        <vertAlign val="superscript"/>
        <sz val="12"/>
        <color theme="1"/>
        <rFont val="Calibri (Body)"/>
      </rPr>
      <t>$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O-loss during heating experiment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</si>
</sst>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E+00"/>
  </numFmts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vertAlign val="subscript"/>
      <sz val="12"/>
      <color theme="1"/>
      <name val="Calibri (Body)"/>
    </font>
    <font>
      <i/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vertAlign val="subscript"/>
      <sz val="12"/>
      <color rgb="FFFF0000"/>
      <name val="Calibri (Body)"/>
    </font>
    <font>
      <vertAlign val="superscript"/>
      <sz val="12"/>
      <color theme="1"/>
      <name val="Calibri (Body)"/>
    </font>
    <font>
      <sz val="12"/>
      <color theme="1"/>
      <name val="Calibri (Body)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"/>
    </xf>
    <xf numFmtId="1" fontId="0" fillId="0" borderId="0" xfId="0" applyNumberForma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3" fillId="3" borderId="0" xfId="0" applyFont="1" applyFill="1"/>
    <xf numFmtId="0" fontId="3" fillId="2" borderId="0" xfId="0" applyFont="1" applyFill="1"/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66" fontId="0" fillId="3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/>
    </xf>
    <xf numFmtId="165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6" fillId="0" borderId="0" xfId="0" applyFont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F6D2-5429-AC4C-BD54-CA1263C67BB8}">
  <sheetPr codeName="Sheet1"/>
  <dimension ref="A1:AK105"/>
  <sheetViews>
    <sheetView tabSelected="1" zoomScale="110" zoomScaleNormal="110" workbookViewId="0">
      <selection activeCell="A45" sqref="A45:A46"/>
    </sheetView>
  </sheetViews>
  <sheetFormatPr baseColWidth="10" defaultRowHeight="16" x14ac:dyDescent="0.2"/>
  <cols>
    <col min="1" max="1" width="25.6640625" bestFit="1" customWidth="1"/>
    <col min="2" max="2" width="25.6640625" customWidth="1"/>
    <col min="3" max="3" width="17.83203125" customWidth="1"/>
    <col min="4" max="4" width="29.83203125" customWidth="1"/>
    <col min="5" max="5" width="31.1640625" bestFit="1" customWidth="1"/>
    <col min="6" max="6" width="26.1640625" customWidth="1"/>
    <col min="7" max="7" width="37.5" customWidth="1"/>
    <col min="8" max="8" width="27.83203125" bestFit="1" customWidth="1"/>
    <col min="9" max="9" width="24.5" customWidth="1"/>
    <col min="10" max="10" width="30.6640625" bestFit="1" customWidth="1"/>
    <col min="11" max="11" width="18.5" bestFit="1" customWidth="1"/>
    <col min="12" max="12" width="16" bestFit="1" customWidth="1"/>
    <col min="28" max="28" width="29.83203125" bestFit="1" customWidth="1"/>
    <col min="29" max="29" width="29.83203125" customWidth="1"/>
    <col min="30" max="30" width="13.33203125" bestFit="1" customWidth="1"/>
    <col min="31" max="31" width="11" bestFit="1" customWidth="1"/>
    <col min="32" max="32" width="24.5" bestFit="1" customWidth="1"/>
    <col min="33" max="33" width="28.1640625" bestFit="1" customWidth="1"/>
    <col min="34" max="34" width="18" bestFit="1" customWidth="1"/>
    <col min="36" max="36" width="13.1640625" bestFit="1" customWidth="1"/>
    <col min="37" max="37" width="24.5" bestFit="1" customWidth="1"/>
  </cols>
  <sheetData>
    <row r="1" spans="1:37" x14ac:dyDescent="0.2">
      <c r="A1" t="s">
        <v>92</v>
      </c>
      <c r="C1" s="37" t="s">
        <v>90</v>
      </c>
      <c r="D1" s="38"/>
      <c r="E1" s="38"/>
      <c r="F1" s="38"/>
      <c r="G1" s="38"/>
      <c r="H1" s="38"/>
      <c r="I1" s="38"/>
      <c r="J1" s="39"/>
      <c r="K1" s="16" t="s">
        <v>91</v>
      </c>
      <c r="L1" s="17" t="s">
        <v>93</v>
      </c>
      <c r="M1" s="18" t="s">
        <v>94</v>
      </c>
      <c r="N1" s="38" t="s">
        <v>93</v>
      </c>
      <c r="O1" s="38"/>
      <c r="P1" s="39"/>
      <c r="Q1" s="37" t="s">
        <v>90</v>
      </c>
      <c r="R1" s="38"/>
      <c r="S1" s="38"/>
      <c r="T1" s="38"/>
      <c r="U1" s="38"/>
      <c r="V1" s="38"/>
      <c r="W1" s="38"/>
      <c r="X1" s="38"/>
      <c r="Y1" s="38"/>
      <c r="Z1" s="38"/>
      <c r="AA1" s="39"/>
      <c r="AB1" s="17" t="s">
        <v>142</v>
      </c>
      <c r="AC1" s="18"/>
      <c r="AD1" s="18" t="s">
        <v>95</v>
      </c>
      <c r="AE1" s="38" t="s">
        <v>97</v>
      </c>
      <c r="AF1" s="39"/>
      <c r="AG1" s="17" t="s">
        <v>142</v>
      </c>
      <c r="AH1" s="18"/>
      <c r="AI1" s="18" t="s">
        <v>95</v>
      </c>
      <c r="AJ1" s="38" t="s">
        <v>97</v>
      </c>
      <c r="AK1" s="39"/>
    </row>
    <row r="2" spans="1:37" ht="20" x14ac:dyDescent="0.25">
      <c r="A2" t="s">
        <v>38</v>
      </c>
      <c r="B2" t="s">
        <v>155</v>
      </c>
      <c r="C2" s="1" t="s">
        <v>1</v>
      </c>
      <c r="D2" s="1" t="s">
        <v>156</v>
      </c>
      <c r="E2" s="1" t="s">
        <v>113</v>
      </c>
      <c r="F2" s="1" t="s">
        <v>100</v>
      </c>
      <c r="G2" s="1" t="s">
        <v>25</v>
      </c>
      <c r="H2" s="1" t="s">
        <v>101</v>
      </c>
      <c r="I2" s="1" t="s">
        <v>89</v>
      </c>
      <c r="J2" s="1" t="s">
        <v>76</v>
      </c>
      <c r="K2" s="7" t="s">
        <v>36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t="s">
        <v>79</v>
      </c>
      <c r="R2" t="s">
        <v>80</v>
      </c>
      <c r="S2" t="s">
        <v>81</v>
      </c>
      <c r="T2" t="s">
        <v>88</v>
      </c>
      <c r="U2" t="s">
        <v>7</v>
      </c>
      <c r="V2" t="s">
        <v>8</v>
      </c>
      <c r="W2" t="s">
        <v>9</v>
      </c>
      <c r="X2" t="s">
        <v>82</v>
      </c>
      <c r="Y2" t="s">
        <v>83</v>
      </c>
      <c r="Z2" t="s">
        <v>84</v>
      </c>
      <c r="AA2" t="s">
        <v>85</v>
      </c>
      <c r="AB2" t="s">
        <v>140</v>
      </c>
      <c r="AC2" t="s">
        <v>145</v>
      </c>
      <c r="AD2" t="s">
        <v>141</v>
      </c>
      <c r="AE2" t="s">
        <v>96</v>
      </c>
      <c r="AF2" t="s">
        <v>98</v>
      </c>
      <c r="AG2" s="2" t="s">
        <v>117</v>
      </c>
      <c r="AH2" t="s">
        <v>145</v>
      </c>
      <c r="AI2" s="2" t="s">
        <v>87</v>
      </c>
      <c r="AJ2" s="2" t="s">
        <v>96</v>
      </c>
      <c r="AK2" s="2" t="s">
        <v>98</v>
      </c>
    </row>
    <row r="3" spans="1:37" x14ac:dyDescent="0.2">
      <c r="A3" t="s">
        <v>130</v>
      </c>
      <c r="B3" t="s">
        <v>138</v>
      </c>
      <c r="C3" s="3">
        <v>3.2788982130000002</v>
      </c>
      <c r="D3" s="3">
        <v>2.645161290322573E-2</v>
      </c>
      <c r="E3" s="3">
        <f t="shared" ref="E3:E20" si="0">C3+D3</f>
        <v>3.3053498259032259</v>
      </c>
      <c r="F3" s="3">
        <f t="shared" ref="F3:F20" si="1">G3-E3</f>
        <v>1.0344648398103415</v>
      </c>
      <c r="G3" s="3">
        <f>(E20-E3)+E3</f>
        <v>4.3398146657135674</v>
      </c>
      <c r="H3" s="30">
        <v>8.6707566462167675E-3</v>
      </c>
      <c r="I3" s="3">
        <f t="shared" ref="I3:I20" si="2">G3+H3</f>
        <v>4.3484854223597846</v>
      </c>
      <c r="J3" s="31">
        <f>I3*C68</f>
        <v>4.5311218100988961</v>
      </c>
      <c r="K3" s="7">
        <v>65</v>
      </c>
      <c r="L3" s="32">
        <v>3606</v>
      </c>
      <c r="M3" s="1">
        <v>86.38</v>
      </c>
      <c r="N3" s="1">
        <v>2821</v>
      </c>
      <c r="O3" s="1">
        <v>2245</v>
      </c>
      <c r="P3" s="1">
        <v>5078</v>
      </c>
      <c r="Q3" s="4">
        <v>48.107999999999997</v>
      </c>
      <c r="R3" s="4">
        <v>1.2090000000000001</v>
      </c>
      <c r="S3" s="4">
        <v>16.658000000000001</v>
      </c>
      <c r="T3" s="4">
        <v>8.1669999999999998</v>
      </c>
      <c r="U3" s="4">
        <v>0.158</v>
      </c>
      <c r="V3" s="4">
        <v>6.52</v>
      </c>
      <c r="W3" s="4">
        <v>10.32</v>
      </c>
      <c r="X3" s="4">
        <v>2.218</v>
      </c>
      <c r="Y3" s="4">
        <v>5.57</v>
      </c>
      <c r="Z3" s="4">
        <v>1.0189999999999999</v>
      </c>
      <c r="AA3" s="4">
        <v>5.2999999999999999E-2</v>
      </c>
      <c r="AB3" s="8">
        <v>456.3</v>
      </c>
      <c r="AC3" s="8" t="s">
        <v>119</v>
      </c>
      <c r="AD3" s="4">
        <v>0.311</v>
      </c>
      <c r="AE3" s="6">
        <f>AB3/27</f>
        <v>16.900000000000002</v>
      </c>
      <c r="AF3" s="6">
        <f>AB3/26</f>
        <v>17.55</v>
      </c>
      <c r="AG3" s="8">
        <v>430.654</v>
      </c>
      <c r="AH3" s="36" t="s">
        <v>118</v>
      </c>
      <c r="AI3" s="4">
        <v>0.51900000000000002</v>
      </c>
      <c r="AJ3" s="6">
        <f>AG3/27</f>
        <v>15.950148148148148</v>
      </c>
      <c r="AK3" s="6">
        <f>AG3/26</f>
        <v>16.563615384615385</v>
      </c>
    </row>
    <row r="4" spans="1:37" x14ac:dyDescent="0.2">
      <c r="A4" t="s">
        <v>131</v>
      </c>
      <c r="B4" t="s">
        <v>138</v>
      </c>
      <c r="C4" s="3">
        <v>3.9365510960000001</v>
      </c>
      <c r="D4" s="3">
        <v>5.0298291776540438E-3</v>
      </c>
      <c r="E4" s="3">
        <f t="shared" si="0"/>
        <v>3.9415809251776541</v>
      </c>
      <c r="F4" s="3">
        <f t="shared" si="1"/>
        <v>0</v>
      </c>
      <c r="G4" s="3">
        <f>E4</f>
        <v>3.9415809251776541</v>
      </c>
      <c r="H4" s="30">
        <v>1.0092482373409029E-2</v>
      </c>
      <c r="I4" s="3">
        <f t="shared" si="2"/>
        <v>3.9516734075510631</v>
      </c>
      <c r="J4" s="31">
        <f>I4*C49</f>
        <v>4.3507924217137202</v>
      </c>
      <c r="K4" s="7">
        <v>70</v>
      </c>
      <c r="L4" s="5">
        <v>2263</v>
      </c>
      <c r="M4" s="1">
        <v>85.38</v>
      </c>
      <c r="N4" s="1">
        <v>3292</v>
      </c>
      <c r="O4" s="1">
        <v>2178</v>
      </c>
      <c r="P4" s="1">
        <v>4403</v>
      </c>
      <c r="Q4" s="4">
        <v>49.713000000000001</v>
      </c>
      <c r="R4" s="4">
        <v>0.97799999999999998</v>
      </c>
      <c r="S4" s="4">
        <v>16.667000000000002</v>
      </c>
      <c r="T4" s="4">
        <v>8.1359999999999992</v>
      </c>
      <c r="U4" s="4">
        <v>0.187</v>
      </c>
      <c r="V4" s="4">
        <v>6.4539999999999997</v>
      </c>
      <c r="W4" s="4">
        <v>10.388999999999999</v>
      </c>
      <c r="X4" s="4">
        <v>1.869</v>
      </c>
      <c r="Y4" s="4">
        <v>4.7930000000000001</v>
      </c>
      <c r="Z4" s="4">
        <v>0.81399999999999995</v>
      </c>
      <c r="AA4" s="4">
        <v>0</v>
      </c>
      <c r="AB4" s="8">
        <v>371.8</v>
      </c>
      <c r="AC4" s="8" t="s">
        <v>120</v>
      </c>
      <c r="AD4" s="4">
        <v>0.376</v>
      </c>
      <c r="AE4" s="6">
        <f>AB4/27</f>
        <v>13.770370370370371</v>
      </c>
      <c r="AF4" s="6">
        <f t="shared" ref="AF4:AF20" si="3">AB4/26</f>
        <v>14.3</v>
      </c>
      <c r="AG4" s="8">
        <v>380.06799999999998</v>
      </c>
      <c r="AH4" s="8" t="s">
        <v>120</v>
      </c>
      <c r="AI4" s="4">
        <v>0.54900000000000004</v>
      </c>
      <c r="AJ4" s="6">
        <f>AG4/27</f>
        <v>14.076592592592592</v>
      </c>
      <c r="AK4" s="6">
        <f>AG4/26</f>
        <v>14.617999999999999</v>
      </c>
    </row>
    <row r="5" spans="1:37" x14ac:dyDescent="0.2">
      <c r="A5" t="s">
        <v>132</v>
      </c>
      <c r="B5" t="s">
        <v>138</v>
      </c>
      <c r="C5" s="3">
        <v>2.9983891250000001</v>
      </c>
      <c r="D5" s="3">
        <v>0</v>
      </c>
      <c r="E5" s="3">
        <f t="shared" si="0"/>
        <v>2.9983891250000001</v>
      </c>
      <c r="F5" s="3">
        <f t="shared" si="1"/>
        <v>0</v>
      </c>
      <c r="G5" s="3">
        <f>E5</f>
        <v>2.9983891250000001</v>
      </c>
      <c r="H5" s="30">
        <v>8.4232484281704656E-3</v>
      </c>
      <c r="I5" s="3">
        <f t="shared" si="2"/>
        <v>3.0068123734281706</v>
      </c>
      <c r="J5" s="31">
        <f>I5*C63</f>
        <v>2.9105943774784691</v>
      </c>
      <c r="K5" s="7">
        <v>51</v>
      </c>
      <c r="L5" s="5">
        <v>2934</v>
      </c>
      <c r="M5" s="1">
        <v>90.09</v>
      </c>
      <c r="N5" s="1">
        <v>3191</v>
      </c>
      <c r="O5" s="1">
        <v>2070</v>
      </c>
      <c r="P5" s="1">
        <v>2739</v>
      </c>
      <c r="Q5" s="4">
        <v>49.106000000000002</v>
      </c>
      <c r="R5" s="4">
        <v>1.1990000000000001</v>
      </c>
      <c r="S5" s="4">
        <v>12.423999999999999</v>
      </c>
      <c r="T5" s="4">
        <v>8.1780000000000008</v>
      </c>
      <c r="U5" s="4">
        <v>0.16600000000000001</v>
      </c>
      <c r="V5" s="4">
        <v>9.3740000000000006</v>
      </c>
      <c r="W5" s="4">
        <v>12.034000000000001</v>
      </c>
      <c r="X5" s="4">
        <v>1.4530000000000001</v>
      </c>
      <c r="Y5" s="4">
        <v>5.2949999999999999</v>
      </c>
      <c r="Z5" s="4">
        <v>0.72199999999999998</v>
      </c>
      <c r="AA5" s="4">
        <v>4.9000000000000002E-2</v>
      </c>
      <c r="AB5" s="8">
        <v>245.8</v>
      </c>
      <c r="AC5" s="8" t="s">
        <v>121</v>
      </c>
      <c r="AD5" s="4">
        <v>0.29199999999999998</v>
      </c>
      <c r="AE5" s="6">
        <f t="shared" ref="AE5:AE20" si="4">AB5/27</f>
        <v>9.1037037037037045</v>
      </c>
      <c r="AF5" s="6">
        <f t="shared" si="3"/>
        <v>9.453846153846154</v>
      </c>
      <c r="AG5" s="8">
        <v>298.06400000000002</v>
      </c>
      <c r="AH5" s="8" t="s">
        <v>143</v>
      </c>
      <c r="AI5" s="4">
        <v>0.36699999999999999</v>
      </c>
      <c r="AJ5" s="6">
        <f>AG5/27</f>
        <v>11.039407407407408</v>
      </c>
      <c r="AK5" s="6">
        <f>AG5/26</f>
        <v>11.464</v>
      </c>
    </row>
    <row r="6" spans="1:37" x14ac:dyDescent="0.2">
      <c r="A6" t="s">
        <v>133</v>
      </c>
      <c r="B6" t="s">
        <v>138</v>
      </c>
      <c r="C6" s="3">
        <v>3.4599470870000002</v>
      </c>
      <c r="D6" s="3">
        <v>1.7386934673366827E-2</v>
      </c>
      <c r="E6" s="3">
        <f t="shared" si="0"/>
        <v>3.477334021673367</v>
      </c>
      <c r="F6" s="3">
        <f t="shared" si="1"/>
        <v>0</v>
      </c>
      <c r="G6" s="3">
        <f>E6</f>
        <v>3.477334021673367</v>
      </c>
      <c r="H6" s="30">
        <v>1.220133254172439E-2</v>
      </c>
      <c r="I6" s="3">
        <f t="shared" si="2"/>
        <v>3.4895353542150915</v>
      </c>
      <c r="J6" s="31">
        <f>I6*C53</f>
        <v>3.6814597986969213</v>
      </c>
      <c r="K6" s="7">
        <v>40</v>
      </c>
      <c r="L6" s="32">
        <v>3094</v>
      </c>
      <c r="M6" s="1">
        <v>87.97</v>
      </c>
      <c r="N6" s="1">
        <v>2392</v>
      </c>
      <c r="O6" s="1">
        <v>1946</v>
      </c>
      <c r="P6" s="1">
        <v>4233</v>
      </c>
      <c r="Q6" s="4">
        <v>50.563000000000002</v>
      </c>
      <c r="R6" s="4">
        <v>0.91400000000000003</v>
      </c>
      <c r="S6" s="4">
        <v>15.268000000000001</v>
      </c>
      <c r="T6" s="4">
        <v>8.1430000000000007</v>
      </c>
      <c r="U6" s="4">
        <v>0.159</v>
      </c>
      <c r="V6" s="4">
        <v>8.0820000000000007</v>
      </c>
      <c r="W6" s="4">
        <v>9.4450000000000003</v>
      </c>
      <c r="X6" s="4">
        <v>1.8380000000000001</v>
      </c>
      <c r="Y6" s="4">
        <v>4.7489999999999997</v>
      </c>
      <c r="Z6" s="4">
        <v>0.80700000000000005</v>
      </c>
      <c r="AA6" s="4">
        <v>3.2000000000000001E-2</v>
      </c>
      <c r="AB6" s="8">
        <v>407.6</v>
      </c>
      <c r="AC6" s="8" t="s">
        <v>123</v>
      </c>
      <c r="AD6" s="4">
        <v>0.246</v>
      </c>
      <c r="AE6" s="6">
        <f t="shared" si="4"/>
        <v>15.096296296296297</v>
      </c>
      <c r="AF6" s="6">
        <f t="shared" si="3"/>
        <v>15.676923076923078</v>
      </c>
      <c r="AG6" s="8">
        <v>389.46199999999999</v>
      </c>
      <c r="AH6" s="8" t="s">
        <v>144</v>
      </c>
      <c r="AI6" s="4">
        <v>0.47099999999999997</v>
      </c>
      <c r="AJ6" s="6">
        <f t="shared" ref="AJ6:AJ18" si="5">AG6/27</f>
        <v>14.424518518518518</v>
      </c>
      <c r="AK6" s="6">
        <f t="shared" ref="AK6:AK18" si="6">AG6/26</f>
        <v>14.979307692307692</v>
      </c>
    </row>
    <row r="7" spans="1:37" x14ac:dyDescent="0.2">
      <c r="A7" t="s">
        <v>146</v>
      </c>
      <c r="B7" t="s">
        <v>139</v>
      </c>
      <c r="C7" s="3">
        <v>0.21420950499999999</v>
      </c>
      <c r="D7" s="3">
        <v>0.16300177619893433</v>
      </c>
      <c r="E7" s="3">
        <f t="shared" si="0"/>
        <v>0.37721128119893432</v>
      </c>
      <c r="F7" s="3">
        <f t="shared" si="1"/>
        <v>0.1391378764226594</v>
      </c>
      <c r="G7" s="3">
        <f>(E15-E7)+E7</f>
        <v>0.51634915762159372</v>
      </c>
      <c r="H7" s="30">
        <v>0</v>
      </c>
      <c r="I7" s="3">
        <f t="shared" si="2"/>
        <v>0.51634915762159372</v>
      </c>
      <c r="J7" s="31">
        <f>I7*C65</f>
        <v>0.54939550370937573</v>
      </c>
      <c r="K7" s="32">
        <f>(47+40)/2</f>
        <v>43.5</v>
      </c>
      <c r="L7" s="5">
        <v>380.78931119999999</v>
      </c>
      <c r="M7" s="1">
        <v>71.53</v>
      </c>
      <c r="N7" s="1">
        <v>8104</v>
      </c>
      <c r="O7" s="1">
        <v>163</v>
      </c>
      <c r="P7" s="1">
        <v>3264</v>
      </c>
      <c r="Q7" s="4">
        <v>53.223999999999997</v>
      </c>
      <c r="R7" s="4">
        <v>1.256</v>
      </c>
      <c r="S7" s="4">
        <v>18.971</v>
      </c>
      <c r="T7" s="4">
        <v>6.3380000000000001</v>
      </c>
      <c r="U7" s="4">
        <v>0.106</v>
      </c>
      <c r="V7" s="4">
        <v>1.506</v>
      </c>
      <c r="W7" s="4">
        <v>5.6959999999999997</v>
      </c>
      <c r="X7" s="4">
        <v>3.7370000000000001</v>
      </c>
      <c r="Y7" s="4">
        <v>8.6120000000000001</v>
      </c>
      <c r="Z7" s="4">
        <v>0.54300000000000004</v>
      </c>
      <c r="AA7" s="4">
        <v>1.0999999999999999E-2</v>
      </c>
      <c r="AB7" s="8">
        <v>37.9</v>
      </c>
      <c r="AC7" s="8"/>
      <c r="AD7" s="4">
        <v>9.2999999999999999E-2</v>
      </c>
      <c r="AE7" s="6">
        <f t="shared" si="4"/>
        <v>1.4037037037037037</v>
      </c>
      <c r="AF7" s="6">
        <f t="shared" si="3"/>
        <v>1.4576923076923076</v>
      </c>
      <c r="AG7" s="8">
        <v>56.7</v>
      </c>
      <c r="AI7" s="4">
        <v>8.3000000000000004E-2</v>
      </c>
      <c r="AJ7" s="6">
        <f t="shared" si="5"/>
        <v>2.1</v>
      </c>
      <c r="AK7" s="6">
        <f t="shared" si="6"/>
        <v>2.180769230769231</v>
      </c>
    </row>
    <row r="8" spans="1:37" x14ac:dyDescent="0.2">
      <c r="A8" t="s">
        <v>147</v>
      </c>
      <c r="B8" t="s">
        <v>139</v>
      </c>
      <c r="C8" s="3">
        <v>7.4656258000000003E-2</v>
      </c>
      <c r="D8" s="3">
        <v>2.645161290322573E-2</v>
      </c>
      <c r="E8" s="3">
        <f t="shared" si="0"/>
        <v>0.10110787090322573</v>
      </c>
      <c r="F8" s="3">
        <f t="shared" si="1"/>
        <v>0.41524128671836802</v>
      </c>
      <c r="G8" s="3">
        <f>($E$15-E8)+E8</f>
        <v>0.51634915762159372</v>
      </c>
      <c r="H8" s="30">
        <v>0</v>
      </c>
      <c r="I8" s="3">
        <f t="shared" si="2"/>
        <v>0.51634915762159372</v>
      </c>
      <c r="J8" s="31">
        <f>I8*C66</f>
        <v>0.53493772729597111</v>
      </c>
      <c r="K8" s="32">
        <f>(59+40)/2</f>
        <v>49.5</v>
      </c>
      <c r="L8" s="5">
        <v>88.416778989999997</v>
      </c>
      <c r="M8" s="1">
        <v>69.5</v>
      </c>
      <c r="N8" s="1">
        <v>3403</v>
      </c>
      <c r="O8" s="1">
        <v>188</v>
      </c>
      <c r="P8" s="1">
        <v>2640</v>
      </c>
      <c r="Q8" s="4">
        <v>54.389000000000003</v>
      </c>
      <c r="R8" s="4">
        <v>1.111</v>
      </c>
      <c r="S8" s="4">
        <v>19.420000000000002</v>
      </c>
      <c r="T8" s="4">
        <v>6.2859999999999996</v>
      </c>
      <c r="U8" s="4">
        <v>0.104</v>
      </c>
      <c r="V8" s="4">
        <v>1.2629999999999999</v>
      </c>
      <c r="W8" s="4">
        <v>3.9860000000000002</v>
      </c>
      <c r="X8" s="4">
        <v>3.3210000000000002</v>
      </c>
      <c r="Y8" s="4">
        <v>9.6110000000000007</v>
      </c>
      <c r="Z8" s="4">
        <v>0.50900000000000001</v>
      </c>
      <c r="AA8" s="4">
        <v>0</v>
      </c>
      <c r="AB8" s="8">
        <v>11.8</v>
      </c>
      <c r="AC8" s="8"/>
      <c r="AD8" s="4">
        <v>0.27900000000000003</v>
      </c>
      <c r="AE8" s="6">
        <f t="shared" si="4"/>
        <v>0.43703703703703706</v>
      </c>
      <c r="AF8" s="6">
        <f t="shared" si="3"/>
        <v>0.4538461538461539</v>
      </c>
      <c r="AG8" s="8">
        <v>18.2</v>
      </c>
      <c r="AI8" s="4">
        <v>0.2</v>
      </c>
      <c r="AJ8" s="6">
        <f t="shared" si="5"/>
        <v>0.67407407407407405</v>
      </c>
      <c r="AK8" s="6">
        <f t="shared" si="6"/>
        <v>0.7</v>
      </c>
    </row>
    <row r="9" spans="1:37" x14ac:dyDescent="0.2">
      <c r="A9" t="s">
        <v>148</v>
      </c>
      <c r="B9" t="s">
        <v>139</v>
      </c>
      <c r="C9" s="3">
        <v>6.4721485999999995E-2</v>
      </c>
      <c r="D9" s="3">
        <v>2.645161290322573E-2</v>
      </c>
      <c r="E9" s="3">
        <f t="shared" si="0"/>
        <v>9.1173098903225724E-2</v>
      </c>
      <c r="F9" s="3">
        <f t="shared" si="1"/>
        <v>0.425176058718368</v>
      </c>
      <c r="G9" s="3">
        <f>($E$15-E9)+E9</f>
        <v>0.51634915762159372</v>
      </c>
      <c r="H9" s="30">
        <v>0</v>
      </c>
      <c r="I9" s="3">
        <f t="shared" si="2"/>
        <v>0.51634915762159372</v>
      </c>
      <c r="J9" s="31">
        <f>I9*C66</f>
        <v>0.53493772729597111</v>
      </c>
      <c r="K9" s="32">
        <f>(32+25)/2</f>
        <v>28.5</v>
      </c>
      <c r="L9" s="5">
        <v>80.169802970000006</v>
      </c>
      <c r="M9" s="1">
        <v>69.5</v>
      </c>
      <c r="N9" s="1">
        <v>3427</v>
      </c>
      <c r="O9" s="1">
        <v>330</v>
      </c>
      <c r="P9" s="1">
        <v>3415</v>
      </c>
      <c r="Q9" s="4">
        <v>53.316000000000003</v>
      </c>
      <c r="R9" s="4">
        <v>1.296</v>
      </c>
      <c r="S9" s="4">
        <v>19.222000000000001</v>
      </c>
      <c r="T9" s="4">
        <v>6.0309999999999997</v>
      </c>
      <c r="U9" s="4">
        <v>0.154</v>
      </c>
      <c r="V9" s="4">
        <v>1.22</v>
      </c>
      <c r="W9" s="4">
        <v>4.9539999999999997</v>
      </c>
      <c r="X9" s="4">
        <v>3.4820000000000002</v>
      </c>
      <c r="Y9" s="4">
        <v>9.4130000000000003</v>
      </c>
      <c r="Z9" s="4">
        <v>0.91200000000000003</v>
      </c>
      <c r="AA9" s="4">
        <v>0</v>
      </c>
      <c r="AB9" s="8">
        <v>10.4</v>
      </c>
      <c r="AC9" s="8"/>
      <c r="AD9" s="4">
        <v>0.317</v>
      </c>
      <c r="AE9" s="6">
        <f t="shared" si="4"/>
        <v>0.38518518518518519</v>
      </c>
      <c r="AF9" s="6">
        <f t="shared" si="3"/>
        <v>0.4</v>
      </c>
      <c r="AG9" s="8">
        <v>15.86</v>
      </c>
      <c r="AI9" s="4">
        <v>0.25700000000000001</v>
      </c>
      <c r="AJ9" s="6">
        <f t="shared" si="5"/>
        <v>0.58740740740740738</v>
      </c>
      <c r="AK9" s="6">
        <f t="shared" si="6"/>
        <v>0.61</v>
      </c>
    </row>
    <row r="10" spans="1:37" x14ac:dyDescent="0.2">
      <c r="A10" t="s">
        <v>16</v>
      </c>
      <c r="B10" t="s">
        <v>138</v>
      </c>
      <c r="C10" s="3">
        <v>3.9217071429999999</v>
      </c>
      <c r="D10" s="3">
        <v>0</v>
      </c>
      <c r="E10" s="3">
        <f t="shared" si="0"/>
        <v>3.9217071429999999</v>
      </c>
      <c r="F10" s="3">
        <f t="shared" si="1"/>
        <v>0</v>
      </c>
      <c r="G10" s="3">
        <f>E10</f>
        <v>3.9217071429999999</v>
      </c>
      <c r="H10" s="30">
        <v>4.327798727978837E-2</v>
      </c>
      <c r="I10" s="3">
        <f t="shared" si="2"/>
        <v>3.9649851302797883</v>
      </c>
      <c r="J10" s="31">
        <f>I10*C54</f>
        <v>3.9848100559311868</v>
      </c>
      <c r="K10" s="7">
        <v>50</v>
      </c>
      <c r="L10" s="5">
        <v>4022</v>
      </c>
      <c r="M10" s="1">
        <v>89.63</v>
      </c>
      <c r="N10" s="1">
        <v>5455</v>
      </c>
      <c r="O10" s="1">
        <v>4599</v>
      </c>
      <c r="P10" s="1">
        <v>5383</v>
      </c>
      <c r="Q10" s="4">
        <v>49.267000000000003</v>
      </c>
      <c r="R10" s="4">
        <v>1.028</v>
      </c>
      <c r="S10" s="4">
        <v>11.369</v>
      </c>
      <c r="T10" s="4">
        <v>8.1880000000000006</v>
      </c>
      <c r="U10" s="4">
        <v>0.14199999999999999</v>
      </c>
      <c r="V10" s="4">
        <v>8.6419999999999995</v>
      </c>
      <c r="W10" s="4">
        <v>12.611000000000001</v>
      </c>
      <c r="X10" s="4">
        <v>1.954</v>
      </c>
      <c r="Y10" s="4">
        <v>5.5780000000000003</v>
      </c>
      <c r="Z10" s="4">
        <v>1.1499999999999999</v>
      </c>
      <c r="AA10" s="4">
        <v>7.0999999999999994E-2</v>
      </c>
      <c r="AB10" s="8">
        <v>224.8</v>
      </c>
      <c r="AC10" s="8" t="s">
        <v>124</v>
      </c>
      <c r="AD10" s="4">
        <v>0.57099999999999995</v>
      </c>
      <c r="AE10" s="6">
        <f t="shared" si="4"/>
        <v>8.325925925925926</v>
      </c>
      <c r="AF10" s="6">
        <f t="shared" si="3"/>
        <v>8.6461538461538474</v>
      </c>
      <c r="AG10">
        <v>350</v>
      </c>
      <c r="AH10" s="8" t="s">
        <v>126</v>
      </c>
      <c r="AI10" s="4">
        <v>0.47399999999999998</v>
      </c>
      <c r="AJ10" s="6">
        <f t="shared" si="5"/>
        <v>12.962962962962964</v>
      </c>
      <c r="AK10" s="6">
        <f t="shared" si="6"/>
        <v>13.461538461538462</v>
      </c>
    </row>
    <row r="11" spans="1:37" x14ac:dyDescent="0.2">
      <c r="A11" t="s">
        <v>149</v>
      </c>
      <c r="B11" t="s">
        <v>139</v>
      </c>
      <c r="C11" s="3">
        <v>0.17332260899999999</v>
      </c>
      <c r="D11" s="3">
        <v>8.7966616084977217E-2</v>
      </c>
      <c r="E11" s="3">
        <f t="shared" si="0"/>
        <v>0.26128922508497721</v>
      </c>
      <c r="F11" s="3">
        <f t="shared" si="1"/>
        <v>0</v>
      </c>
      <c r="G11" s="3">
        <f>E11</f>
        <v>0.26128922508497721</v>
      </c>
      <c r="H11" s="30">
        <v>0</v>
      </c>
      <c r="I11" s="3">
        <f t="shared" si="2"/>
        <v>0.26128922508497721</v>
      </c>
      <c r="J11" s="31">
        <f>I11*C55</f>
        <v>0.27461497556431103</v>
      </c>
      <c r="K11" s="32">
        <v>35</v>
      </c>
      <c r="L11" s="5">
        <v>87.688778529999993</v>
      </c>
      <c r="M11" s="1">
        <v>76.11</v>
      </c>
      <c r="N11" s="1">
        <v>3537</v>
      </c>
      <c r="O11" s="1">
        <v>175</v>
      </c>
      <c r="P11" s="1">
        <v>2377</v>
      </c>
      <c r="Q11" s="4">
        <v>51.506</v>
      </c>
      <c r="R11" s="4">
        <v>1.3360000000000001</v>
      </c>
      <c r="S11" s="4">
        <v>17.968</v>
      </c>
      <c r="T11" s="4">
        <v>7.7720000000000002</v>
      </c>
      <c r="U11" s="4">
        <v>0.11600000000000001</v>
      </c>
      <c r="V11" s="4">
        <v>2.7959999999999998</v>
      </c>
      <c r="W11" s="4">
        <v>7.1749999999999998</v>
      </c>
      <c r="X11" s="4">
        <v>3.1139999999999999</v>
      </c>
      <c r="Y11" s="4">
        <v>7.0910000000000002</v>
      </c>
      <c r="Z11" s="4">
        <v>1.115</v>
      </c>
      <c r="AA11" s="4">
        <v>1.0999999999999999E-2</v>
      </c>
      <c r="AB11" s="8">
        <v>10.3</v>
      </c>
      <c r="AC11" s="8"/>
      <c r="AD11" s="4">
        <v>9.2999999999999999E-2</v>
      </c>
      <c r="AE11" s="6">
        <f t="shared" si="4"/>
        <v>0.38148148148148153</v>
      </c>
      <c r="AF11" s="6">
        <f t="shared" si="3"/>
        <v>0.39615384615384619</v>
      </c>
      <c r="AG11" s="8">
        <v>13.62</v>
      </c>
      <c r="AI11" s="4">
        <v>8.6999999999999994E-2</v>
      </c>
      <c r="AJ11" s="6">
        <f t="shared" si="5"/>
        <v>0.50444444444444436</v>
      </c>
      <c r="AK11" s="6">
        <f t="shared" si="6"/>
        <v>0.52384615384615385</v>
      </c>
    </row>
    <row r="12" spans="1:37" x14ac:dyDescent="0.2">
      <c r="A12" t="s">
        <v>150</v>
      </c>
      <c r="B12" t="s">
        <v>139</v>
      </c>
      <c r="C12" s="3">
        <v>0.19024598400000001</v>
      </c>
      <c r="D12" s="3">
        <v>4.9861134688575198E-2</v>
      </c>
      <c r="E12" s="3">
        <f t="shared" si="0"/>
        <v>0.24010711868857521</v>
      </c>
      <c r="F12" s="3">
        <f t="shared" si="1"/>
        <v>0.27624203893301852</v>
      </c>
      <c r="G12" s="3">
        <f>($E$15-E12)+E12</f>
        <v>0.51634915762159372</v>
      </c>
      <c r="H12" s="30">
        <v>0</v>
      </c>
      <c r="I12" s="3">
        <f t="shared" si="2"/>
        <v>0.51634915762159372</v>
      </c>
      <c r="J12" s="31">
        <f>I12*C69</f>
        <v>0.55146090033986217</v>
      </c>
      <c r="K12" s="32">
        <f>(75+47)/2</f>
        <v>61</v>
      </c>
      <c r="L12" s="5">
        <v>45.396152290000003</v>
      </c>
      <c r="M12" s="1">
        <v>71.19</v>
      </c>
      <c r="N12" s="1">
        <v>3750</v>
      </c>
      <c r="O12" s="1">
        <v>172</v>
      </c>
      <c r="P12" s="1">
        <v>2536</v>
      </c>
      <c r="Q12" s="4">
        <v>52.826999999999998</v>
      </c>
      <c r="R12" s="4">
        <v>1.401</v>
      </c>
      <c r="S12" s="4">
        <v>19.166</v>
      </c>
      <c r="T12" s="4">
        <v>6.4740000000000002</v>
      </c>
      <c r="U12" s="4">
        <v>9.6000000000000002E-2</v>
      </c>
      <c r="V12" s="4">
        <v>1.651</v>
      </c>
      <c r="W12" s="4">
        <v>6.0750000000000002</v>
      </c>
      <c r="X12" s="4">
        <v>3.6150000000000002</v>
      </c>
      <c r="Y12" s="4">
        <v>7.54</v>
      </c>
      <c r="Z12" s="4">
        <v>1.1339999999999999</v>
      </c>
      <c r="AA12" s="4">
        <v>2.1000000000000001E-2</v>
      </c>
      <c r="AB12" s="8">
        <v>10.199999999999999</v>
      </c>
      <c r="AC12" s="8"/>
      <c r="AD12" s="4">
        <v>0.34499999999999997</v>
      </c>
      <c r="AE12" s="6">
        <f t="shared" si="4"/>
        <v>0.37777777777777777</v>
      </c>
      <c r="AF12" s="6">
        <f t="shared" si="3"/>
        <v>0.3923076923076923</v>
      </c>
      <c r="AG12" s="8">
        <v>11.398</v>
      </c>
      <c r="AI12" s="4">
        <v>0.36099999999999999</v>
      </c>
      <c r="AJ12" s="6">
        <f t="shared" si="5"/>
        <v>0.42214814814814816</v>
      </c>
      <c r="AK12" s="6">
        <f t="shared" si="6"/>
        <v>0.43838461538461537</v>
      </c>
    </row>
    <row r="13" spans="1:37" x14ac:dyDescent="0.2">
      <c r="A13" t="s">
        <v>151</v>
      </c>
      <c r="B13" t="s">
        <v>139</v>
      </c>
      <c r="C13" s="3">
        <v>0.14991099499999999</v>
      </c>
      <c r="D13" s="3">
        <v>4.5277980525113559E-2</v>
      </c>
      <c r="E13" s="3">
        <f t="shared" si="0"/>
        <v>0.19518897552511355</v>
      </c>
      <c r="F13" s="3">
        <f t="shared" si="1"/>
        <v>0</v>
      </c>
      <c r="G13" s="3">
        <f t="shared" ref="G13:G18" si="7">E13</f>
        <v>0.19518897552511355</v>
      </c>
      <c r="H13" s="30">
        <v>0</v>
      </c>
      <c r="I13" s="3">
        <f t="shared" si="2"/>
        <v>0.19518897552511355</v>
      </c>
      <c r="J13" s="31">
        <f>I13*C56</f>
        <v>0.20826663688529615</v>
      </c>
      <c r="K13" s="32">
        <v>62</v>
      </c>
      <c r="L13" s="5">
        <v>95.677810089999994</v>
      </c>
      <c r="M13" s="1">
        <v>75.599999999999994</v>
      </c>
      <c r="N13" s="1">
        <v>3717</v>
      </c>
      <c r="O13" s="1">
        <v>156</v>
      </c>
      <c r="P13" s="1">
        <v>1970</v>
      </c>
      <c r="Q13" s="4">
        <v>51.832999999999998</v>
      </c>
      <c r="R13" s="4">
        <v>1.238</v>
      </c>
      <c r="S13" s="4">
        <v>18.158999999999999</v>
      </c>
      <c r="T13" s="4">
        <v>7.4020000000000001</v>
      </c>
      <c r="U13" s="4">
        <v>0.13900000000000001</v>
      </c>
      <c r="V13" s="4">
        <v>2.5259999999999998</v>
      </c>
      <c r="W13" s="4">
        <v>6.7220000000000004</v>
      </c>
      <c r="X13" s="4">
        <v>3.1259999999999999</v>
      </c>
      <c r="Y13" s="4">
        <v>7.5430000000000001</v>
      </c>
      <c r="Z13" s="4">
        <v>1.28</v>
      </c>
      <c r="AA13" s="4">
        <v>3.2000000000000001E-2</v>
      </c>
      <c r="AB13" s="8">
        <v>10.5</v>
      </c>
      <c r="AC13" s="8"/>
      <c r="AD13" s="4">
        <v>5.8000000000000003E-2</v>
      </c>
      <c r="AE13" s="6">
        <f t="shared" si="4"/>
        <v>0.3888888888888889</v>
      </c>
      <c r="AF13" s="6">
        <f t="shared" si="3"/>
        <v>0.40384615384615385</v>
      </c>
      <c r="AG13" s="8">
        <v>15.579000000000001</v>
      </c>
      <c r="AI13" s="4">
        <v>4.3999999999999997E-2</v>
      </c>
      <c r="AJ13" s="6">
        <f t="shared" si="5"/>
        <v>0.57700000000000007</v>
      </c>
      <c r="AK13" s="6">
        <f t="shared" si="6"/>
        <v>0.59919230769230769</v>
      </c>
    </row>
    <row r="14" spans="1:37" x14ac:dyDescent="0.2">
      <c r="A14" t="s">
        <v>134</v>
      </c>
      <c r="B14" t="s">
        <v>138</v>
      </c>
      <c r="C14" s="3">
        <v>3.7806758980000001</v>
      </c>
      <c r="D14" s="3">
        <v>8.5322814964210458E-3</v>
      </c>
      <c r="E14" s="3">
        <f t="shared" si="0"/>
        <v>3.7892081794964212</v>
      </c>
      <c r="F14" s="3">
        <f t="shared" si="1"/>
        <v>0</v>
      </c>
      <c r="G14" s="3">
        <f t="shared" si="7"/>
        <v>3.7892081794964212</v>
      </c>
      <c r="H14" s="30">
        <v>7.5177552887164345E-3</v>
      </c>
      <c r="I14" s="3">
        <f t="shared" si="2"/>
        <v>3.7967259347851376</v>
      </c>
      <c r="J14" s="31">
        <f>I14*C64</f>
        <v>3.9296113425026173</v>
      </c>
      <c r="K14" s="7">
        <v>152</v>
      </c>
      <c r="L14" s="32">
        <v>2973</v>
      </c>
      <c r="M14" s="1">
        <v>86.16</v>
      </c>
      <c r="N14" s="1">
        <v>3040</v>
      </c>
      <c r="O14" s="1">
        <v>2566</v>
      </c>
      <c r="P14" s="1">
        <v>6014</v>
      </c>
      <c r="Q14" s="4">
        <v>48.334000000000003</v>
      </c>
      <c r="R14" s="4">
        <v>1.179</v>
      </c>
      <c r="S14" s="4">
        <v>16.593</v>
      </c>
      <c r="T14" s="4">
        <v>8.1560000000000006</v>
      </c>
      <c r="U14" s="4">
        <v>0.115</v>
      </c>
      <c r="V14" s="4">
        <v>6.3890000000000002</v>
      </c>
      <c r="W14" s="4">
        <v>10.269</v>
      </c>
      <c r="X14" s="4">
        <v>2.254</v>
      </c>
      <c r="Y14" s="4">
        <v>5.6150000000000002</v>
      </c>
      <c r="Z14" s="4">
        <v>1.054</v>
      </c>
      <c r="AA14" s="4">
        <v>4.2000000000000003E-2</v>
      </c>
      <c r="AB14" s="8">
        <v>378.2</v>
      </c>
      <c r="AC14" s="8" t="s">
        <v>125</v>
      </c>
      <c r="AD14" s="4">
        <v>0.30499999999999999</v>
      </c>
      <c r="AE14" s="6">
        <f t="shared" si="4"/>
        <v>14.007407407407406</v>
      </c>
      <c r="AF14" s="6">
        <f t="shared" si="3"/>
        <v>14.546153846153846</v>
      </c>
      <c r="AG14" s="8">
        <v>373.11900000000003</v>
      </c>
      <c r="AH14" s="8" t="s">
        <v>125</v>
      </c>
      <c r="AI14" s="4">
        <v>0.47599999999999998</v>
      </c>
      <c r="AJ14" s="6">
        <f t="shared" si="5"/>
        <v>13.819222222222223</v>
      </c>
      <c r="AK14" s="6">
        <f t="shared" si="6"/>
        <v>14.35073076923077</v>
      </c>
    </row>
    <row r="15" spans="1:37" x14ac:dyDescent="0.2">
      <c r="A15" t="s">
        <v>152</v>
      </c>
      <c r="B15" t="s">
        <v>139</v>
      </c>
      <c r="C15" s="3">
        <v>0.45698525000000001</v>
      </c>
      <c r="D15" s="3">
        <v>5.9363907621593659E-2</v>
      </c>
      <c r="E15" s="3">
        <f t="shared" si="0"/>
        <v>0.51634915762159372</v>
      </c>
      <c r="F15" s="3">
        <f t="shared" si="1"/>
        <v>0</v>
      </c>
      <c r="G15" s="3">
        <f t="shared" si="7"/>
        <v>0.51634915762159372</v>
      </c>
      <c r="H15" s="30">
        <v>0</v>
      </c>
      <c r="I15" s="3">
        <f t="shared" si="2"/>
        <v>0.51634915762159372</v>
      </c>
      <c r="J15" s="31">
        <f>I15*C57</f>
        <v>0.53493772729597111</v>
      </c>
      <c r="K15" s="32">
        <f>(65+40)/2</f>
        <v>52.5</v>
      </c>
      <c r="L15" s="5">
        <v>176.56071840000001</v>
      </c>
      <c r="M15" s="1">
        <v>73.25</v>
      </c>
      <c r="N15" s="1">
        <v>4122</v>
      </c>
      <c r="O15" s="1">
        <v>247</v>
      </c>
      <c r="P15" s="1">
        <v>2692</v>
      </c>
      <c r="Q15" s="4">
        <v>52.238999999999997</v>
      </c>
      <c r="R15" s="4">
        <v>1.2350000000000001</v>
      </c>
      <c r="S15" s="4">
        <v>19.084</v>
      </c>
      <c r="T15" s="4">
        <v>7.1360000000000001</v>
      </c>
      <c r="U15" s="4">
        <v>0.14499999999999999</v>
      </c>
      <c r="V15" s="4">
        <v>2.012</v>
      </c>
      <c r="W15" s="4">
        <v>5.6449999999999996</v>
      </c>
      <c r="X15" s="4">
        <v>3.4660000000000002</v>
      </c>
      <c r="Y15" s="4">
        <v>7.8449999999999998</v>
      </c>
      <c r="Z15" s="4">
        <v>1.1930000000000001</v>
      </c>
      <c r="AA15" s="4">
        <v>0</v>
      </c>
      <c r="AB15" s="8">
        <v>24</v>
      </c>
      <c r="AC15" s="8"/>
      <c r="AD15" s="4">
        <v>0.13700000000000001</v>
      </c>
      <c r="AE15" s="6">
        <f t="shared" si="4"/>
        <v>0.88888888888888884</v>
      </c>
      <c r="AF15" s="6">
        <f t="shared" si="3"/>
        <v>0.92307692307692313</v>
      </c>
      <c r="AG15" s="8">
        <v>30.7</v>
      </c>
      <c r="AI15" s="4">
        <v>0.14299999999999999</v>
      </c>
      <c r="AJ15" s="6">
        <f t="shared" si="5"/>
        <v>1.1370370370370371</v>
      </c>
      <c r="AK15" s="6">
        <f t="shared" si="6"/>
        <v>1.1807692307692308</v>
      </c>
    </row>
    <row r="16" spans="1:37" x14ac:dyDescent="0.2">
      <c r="A16" t="s">
        <v>135</v>
      </c>
      <c r="B16" t="s">
        <v>138</v>
      </c>
      <c r="C16" s="3">
        <v>4.1432343879999998</v>
      </c>
      <c r="D16" s="3">
        <v>1.9881798891892011E-2</v>
      </c>
      <c r="E16" s="3">
        <f t="shared" si="0"/>
        <v>4.1631161868918918</v>
      </c>
      <c r="F16" s="3">
        <f t="shared" si="1"/>
        <v>0</v>
      </c>
      <c r="G16" s="3">
        <f t="shared" si="7"/>
        <v>4.1631161868918918</v>
      </c>
      <c r="H16" s="30">
        <v>1.3292812942243269E-2</v>
      </c>
      <c r="I16" s="3">
        <f t="shared" si="2"/>
        <v>4.1764089998341349</v>
      </c>
      <c r="J16" s="31">
        <f>I16*C58</f>
        <v>4.5439329918195392</v>
      </c>
      <c r="K16" s="7">
        <v>58</v>
      </c>
      <c r="L16" s="5">
        <v>2826</v>
      </c>
      <c r="M16" s="1">
        <v>88.28</v>
      </c>
      <c r="N16" s="1">
        <v>3743</v>
      </c>
      <c r="O16" s="1">
        <v>2132</v>
      </c>
      <c r="P16" s="1">
        <v>4751</v>
      </c>
      <c r="Q16" s="4">
        <v>49.622</v>
      </c>
      <c r="R16" s="4">
        <v>1.1279999999999999</v>
      </c>
      <c r="S16" s="4">
        <v>14.074</v>
      </c>
      <c r="T16" s="4">
        <v>8.17</v>
      </c>
      <c r="U16" s="4">
        <v>0.12</v>
      </c>
      <c r="V16" s="4">
        <v>7.68</v>
      </c>
      <c r="W16" s="4">
        <v>10.263</v>
      </c>
      <c r="X16" s="4">
        <v>2.048</v>
      </c>
      <c r="Y16" s="4">
        <v>5.9359999999999999</v>
      </c>
      <c r="Z16" s="4">
        <v>0.95299999999999996</v>
      </c>
      <c r="AA16" s="4">
        <v>1.0999999999999999E-2</v>
      </c>
      <c r="AB16" s="8">
        <v>306.10000000000002</v>
      </c>
      <c r="AC16" s="8" t="s">
        <v>126</v>
      </c>
      <c r="AD16" s="4">
        <v>0.51300000000000001</v>
      </c>
      <c r="AE16" s="6">
        <f t="shared" si="4"/>
        <v>11.337037037037037</v>
      </c>
      <c r="AF16" s="6">
        <f t="shared" si="3"/>
        <v>11.773076923076925</v>
      </c>
      <c r="AG16" s="8">
        <v>360.8</v>
      </c>
      <c r="AH16" s="8" t="s">
        <v>122</v>
      </c>
      <c r="AI16" s="4">
        <v>0.57099999999999995</v>
      </c>
      <c r="AJ16" s="6">
        <f t="shared" si="5"/>
        <v>13.362962962962964</v>
      </c>
      <c r="AK16" s="6">
        <f t="shared" si="6"/>
        <v>13.876923076923077</v>
      </c>
    </row>
    <row r="17" spans="1:37" x14ac:dyDescent="0.2">
      <c r="A17" t="s">
        <v>136</v>
      </c>
      <c r="B17" t="s">
        <v>138</v>
      </c>
      <c r="C17" s="3">
        <v>3.784923434</v>
      </c>
      <c r="D17" s="3">
        <v>1.1374122367101336E-2</v>
      </c>
      <c r="E17" s="3">
        <f t="shared" si="0"/>
        <v>3.7962975563671013</v>
      </c>
      <c r="F17" s="3">
        <f t="shared" si="1"/>
        <v>0</v>
      </c>
      <c r="G17" s="3">
        <f t="shared" si="7"/>
        <v>3.7962975563671013</v>
      </c>
      <c r="H17" s="30">
        <v>1.2573951779922628E-2</v>
      </c>
      <c r="I17" s="3">
        <f t="shared" si="2"/>
        <v>3.8088715081470239</v>
      </c>
      <c r="J17" s="31">
        <f>I17*C59</f>
        <v>4.2583183461083731</v>
      </c>
      <c r="K17" s="7">
        <v>64</v>
      </c>
      <c r="L17" s="32">
        <v>3269</v>
      </c>
      <c r="M17" s="1">
        <v>86.06</v>
      </c>
      <c r="N17" s="1">
        <v>3852</v>
      </c>
      <c r="O17" s="1">
        <v>3012</v>
      </c>
      <c r="P17" s="1">
        <v>4381</v>
      </c>
      <c r="Q17" s="4">
        <v>48.354999999999997</v>
      </c>
      <c r="R17" s="4">
        <v>1.173</v>
      </c>
      <c r="S17" s="4">
        <v>15.92</v>
      </c>
      <c r="T17" s="4">
        <v>8.1689999999999969</v>
      </c>
      <c r="U17" s="4">
        <v>0.192</v>
      </c>
      <c r="V17" s="4">
        <v>6.2210000000000001</v>
      </c>
      <c r="W17" s="4">
        <v>10.571999999999999</v>
      </c>
      <c r="X17" s="4">
        <v>2.2450000000000001</v>
      </c>
      <c r="Y17" s="4">
        <v>6.0250000000000004</v>
      </c>
      <c r="Z17" s="4">
        <v>1.083</v>
      </c>
      <c r="AA17" s="4">
        <v>4.4999999999999998E-2</v>
      </c>
      <c r="AB17" s="8">
        <v>363.7</v>
      </c>
      <c r="AC17" s="8" t="s">
        <v>127</v>
      </c>
      <c r="AD17" s="4">
        <v>0.433</v>
      </c>
      <c r="AE17" s="6">
        <f t="shared" si="4"/>
        <v>13.47037037037037</v>
      </c>
      <c r="AF17" s="6">
        <f t="shared" si="3"/>
        <v>13.988461538461538</v>
      </c>
      <c r="AG17" s="8">
        <v>376.73</v>
      </c>
      <c r="AH17" s="8" t="s">
        <v>154</v>
      </c>
      <c r="AI17" s="4">
        <v>0.51300000000000001</v>
      </c>
      <c r="AJ17" s="6">
        <f t="shared" si="5"/>
        <v>13.952962962962964</v>
      </c>
      <c r="AK17" s="6">
        <f t="shared" si="6"/>
        <v>14.489615384615385</v>
      </c>
    </row>
    <row r="18" spans="1:37" x14ac:dyDescent="0.2">
      <c r="A18" t="s">
        <v>137</v>
      </c>
      <c r="B18" t="s">
        <v>138</v>
      </c>
      <c r="C18" s="3">
        <v>4.137041215</v>
      </c>
      <c r="D18" s="3">
        <v>1.2457372116348786E-2</v>
      </c>
      <c r="E18" s="3">
        <f t="shared" si="0"/>
        <v>4.1494985871163488</v>
      </c>
      <c r="F18" s="3">
        <f t="shared" si="1"/>
        <v>0</v>
      </c>
      <c r="G18" s="3">
        <f t="shared" si="7"/>
        <v>4.1494985871163488</v>
      </c>
      <c r="H18" s="30">
        <v>1.1180630356390203E-2</v>
      </c>
      <c r="I18" s="3">
        <f t="shared" si="2"/>
        <v>4.1606792174727394</v>
      </c>
      <c r="J18" s="31">
        <f>I18*C60</f>
        <v>4.6349966482646323</v>
      </c>
      <c r="K18" s="7">
        <v>69</v>
      </c>
      <c r="L18" s="32">
        <v>3467</v>
      </c>
      <c r="M18" s="1">
        <v>86.08</v>
      </c>
      <c r="N18" s="1">
        <v>3816</v>
      </c>
      <c r="O18" s="1">
        <v>3155</v>
      </c>
      <c r="P18" s="1">
        <v>4774</v>
      </c>
      <c r="Q18" s="4">
        <v>48.542999999999999</v>
      </c>
      <c r="R18" s="4">
        <v>1.238</v>
      </c>
      <c r="S18" s="4">
        <v>15.596</v>
      </c>
      <c r="T18" s="4">
        <v>8.1690000000000005</v>
      </c>
      <c r="U18" s="4">
        <v>0.18</v>
      </c>
      <c r="V18" s="4">
        <v>6.3470000000000004</v>
      </c>
      <c r="W18" s="4">
        <v>10.926</v>
      </c>
      <c r="X18" s="4">
        <v>2.0699999999999998</v>
      </c>
      <c r="Y18" s="4">
        <v>5.7949999999999999</v>
      </c>
      <c r="Z18" s="4">
        <v>1.125</v>
      </c>
      <c r="AA18" s="4">
        <v>1.0999999999999999E-2</v>
      </c>
      <c r="AB18" s="8">
        <v>390.8</v>
      </c>
      <c r="AC18" s="8" t="s">
        <v>128</v>
      </c>
      <c r="AD18" s="4">
        <v>0.39600000000000002</v>
      </c>
      <c r="AE18" s="6">
        <f t="shared" si="4"/>
        <v>14.474074074074075</v>
      </c>
      <c r="AF18" s="6">
        <f t="shared" si="3"/>
        <v>15.030769230769231</v>
      </c>
      <c r="AG18" s="8">
        <v>414.08</v>
      </c>
      <c r="AH18" s="8" t="s">
        <v>128</v>
      </c>
      <c r="AI18" s="4">
        <v>0.54100000000000004</v>
      </c>
      <c r="AJ18" s="6">
        <f t="shared" si="5"/>
        <v>15.336296296296295</v>
      </c>
      <c r="AK18" s="6">
        <f t="shared" si="6"/>
        <v>15.926153846153845</v>
      </c>
    </row>
    <row r="19" spans="1:37" x14ac:dyDescent="0.2">
      <c r="A19" t="s">
        <v>153</v>
      </c>
      <c r="B19" t="s">
        <v>139</v>
      </c>
      <c r="C19" s="3">
        <v>6.7032612000000005E-2</v>
      </c>
      <c r="D19" s="3">
        <v>6.4018299791596678E-2</v>
      </c>
      <c r="E19" s="3">
        <f t="shared" si="0"/>
        <v>0.13105091179159667</v>
      </c>
      <c r="F19" s="3">
        <f t="shared" si="1"/>
        <v>0.38529824582999705</v>
      </c>
      <c r="G19" s="3">
        <f>($E$15-E19)+E19</f>
        <v>0.51634915762159372</v>
      </c>
      <c r="H19" s="30">
        <v>0</v>
      </c>
      <c r="I19" s="3">
        <f t="shared" si="2"/>
        <v>0.51634915762159372</v>
      </c>
      <c r="J19" s="31">
        <f>I19*C70</f>
        <v>0.54578105960602452</v>
      </c>
      <c r="K19" s="32">
        <f>(66+51)/2</f>
        <v>58.5</v>
      </c>
      <c r="L19" s="5">
        <v>60.249000000000002</v>
      </c>
      <c r="M19" s="1">
        <v>70.84</v>
      </c>
      <c r="N19" s="1">
        <v>4367</v>
      </c>
      <c r="O19" s="1">
        <v>184</v>
      </c>
      <c r="P19" s="1">
        <v>2255</v>
      </c>
      <c r="Q19" s="4">
        <v>54.381</v>
      </c>
      <c r="R19" s="4">
        <v>1.0900000000000001</v>
      </c>
      <c r="S19" s="4">
        <v>18.513000000000002</v>
      </c>
      <c r="T19" s="4">
        <v>6.335</v>
      </c>
      <c r="U19" s="4">
        <v>8.5000000000000006E-2</v>
      </c>
      <c r="V19" s="4">
        <v>1.421</v>
      </c>
      <c r="W19" s="4">
        <v>4.9219999999999997</v>
      </c>
      <c r="X19" s="4">
        <v>3.2389999999999999</v>
      </c>
      <c r="Y19" s="4">
        <v>9.548</v>
      </c>
      <c r="Z19" s="4">
        <v>0.46600000000000003</v>
      </c>
      <c r="AA19" s="4">
        <v>0</v>
      </c>
      <c r="AB19" s="8">
        <v>6.9</v>
      </c>
      <c r="AC19" s="8"/>
      <c r="AD19" s="4">
        <v>0.51</v>
      </c>
      <c r="AE19" s="6">
        <f t="shared" si="4"/>
        <v>0.25555555555555559</v>
      </c>
      <c r="AF19" s="6">
        <f t="shared" si="3"/>
        <v>0.26538461538461539</v>
      </c>
      <c r="AG19" s="8">
        <v>12.75</v>
      </c>
      <c r="AI19" s="4">
        <v>0.49399999999999999</v>
      </c>
      <c r="AJ19" s="6">
        <f>AG19/27</f>
        <v>0.47222222222222221</v>
      </c>
      <c r="AK19" s="6">
        <f>AG19/26</f>
        <v>0.49038461538461536</v>
      </c>
    </row>
    <row r="20" spans="1:37" x14ac:dyDescent="0.2">
      <c r="A20" t="s">
        <v>24</v>
      </c>
      <c r="B20" t="s">
        <v>138</v>
      </c>
      <c r="C20" s="3">
        <v>4.3181061229999997</v>
      </c>
      <c r="D20" s="3">
        <v>2.1708542713567702E-2</v>
      </c>
      <c r="E20" s="3">
        <f t="shared" si="0"/>
        <v>4.3398146657135674</v>
      </c>
      <c r="F20" s="3">
        <f t="shared" si="1"/>
        <v>0</v>
      </c>
      <c r="G20" s="3">
        <f>E20</f>
        <v>4.3398146657135674</v>
      </c>
      <c r="H20" s="30">
        <v>3.6113908982693899E-2</v>
      </c>
      <c r="I20" s="3">
        <f t="shared" si="2"/>
        <v>4.3759285746962613</v>
      </c>
      <c r="J20" s="31">
        <f>I20*C62</f>
        <v>4.196515503133714</v>
      </c>
      <c r="K20" s="7">
        <v>30</v>
      </c>
      <c r="L20" s="5">
        <v>5884</v>
      </c>
      <c r="M20" s="1">
        <v>90</v>
      </c>
      <c r="N20" s="1">
        <v>5706</v>
      </c>
      <c r="O20" s="1">
        <v>3077</v>
      </c>
      <c r="P20" s="1">
        <v>6220</v>
      </c>
      <c r="Q20" s="4">
        <v>48.682000000000002</v>
      </c>
      <c r="R20" s="4">
        <v>1.0760000000000001</v>
      </c>
      <c r="S20" s="4">
        <v>11.010999999999999</v>
      </c>
      <c r="T20" s="4">
        <v>8.1980000000000004</v>
      </c>
      <c r="U20" s="4">
        <v>0.126</v>
      </c>
      <c r="V20" s="4">
        <v>8.8960000000000008</v>
      </c>
      <c r="W20" s="4">
        <v>13.598000000000001</v>
      </c>
      <c r="X20" s="4">
        <v>1.522</v>
      </c>
      <c r="Y20" s="4">
        <v>5.68</v>
      </c>
      <c r="Z20" s="4">
        <v>1.095</v>
      </c>
      <c r="AA20" s="4">
        <v>0.11600000000000001</v>
      </c>
      <c r="AB20" s="8">
        <v>303.60000000000002</v>
      </c>
      <c r="AC20" s="8" t="s">
        <v>129</v>
      </c>
      <c r="AD20" s="4">
        <v>0.44900000000000001</v>
      </c>
      <c r="AE20" s="6">
        <f t="shared" si="4"/>
        <v>11.244444444444445</v>
      </c>
      <c r="AF20" s="6">
        <f t="shared" si="3"/>
        <v>11.676923076923078</v>
      </c>
      <c r="AG20" s="8">
        <v>427.03</v>
      </c>
      <c r="AH20" s="8" t="s">
        <v>126</v>
      </c>
      <c r="AI20" s="4">
        <v>0.44700000000000001</v>
      </c>
      <c r="AJ20" s="6">
        <f>AG20/27</f>
        <v>15.815925925925924</v>
      </c>
      <c r="AK20" s="6">
        <f>AG20/26</f>
        <v>16.424230769230768</v>
      </c>
    </row>
    <row r="21" spans="1:37" x14ac:dyDescent="0.2">
      <c r="A21" s="2"/>
      <c r="B21" s="2"/>
      <c r="C21" s="3"/>
      <c r="D21" s="3"/>
      <c r="E21" s="3"/>
      <c r="F21" s="3"/>
      <c r="G21" s="3"/>
      <c r="H21" s="30"/>
      <c r="I21" s="3"/>
      <c r="J21" s="31"/>
      <c r="K21" s="7"/>
      <c r="L21" s="5"/>
      <c r="M21" s="1"/>
      <c r="N21" s="1"/>
      <c r="O21" s="1"/>
      <c r="P21" s="1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8"/>
      <c r="AC21" s="8"/>
      <c r="AD21" s="4"/>
      <c r="AE21" s="6"/>
      <c r="AF21" s="6"/>
    </row>
    <row r="22" spans="1:37" ht="18" x14ac:dyDescent="0.25">
      <c r="A22" t="s">
        <v>75</v>
      </c>
      <c r="E22" s="1"/>
      <c r="J22" s="1" t="s">
        <v>78</v>
      </c>
      <c r="L22" s="1" t="s">
        <v>77</v>
      </c>
      <c r="M22" s="1" t="s">
        <v>3</v>
      </c>
      <c r="Q22" t="s">
        <v>79</v>
      </c>
      <c r="R22" t="s">
        <v>80</v>
      </c>
      <c r="S22" t="s">
        <v>81</v>
      </c>
      <c r="T22" t="s">
        <v>88</v>
      </c>
      <c r="U22" t="s">
        <v>7</v>
      </c>
      <c r="V22" t="s">
        <v>8</v>
      </c>
      <c r="W22" t="s">
        <v>9</v>
      </c>
      <c r="X22" t="s">
        <v>82</v>
      </c>
      <c r="Y22" t="s">
        <v>83</v>
      </c>
      <c r="Z22" t="s">
        <v>84</v>
      </c>
      <c r="AA22" t="s">
        <v>85</v>
      </c>
      <c r="AB22" s="2" t="s">
        <v>86</v>
      </c>
      <c r="AC22" s="2"/>
      <c r="AD22" s="2" t="s">
        <v>87</v>
      </c>
      <c r="AE22" s="2" t="s">
        <v>10</v>
      </c>
      <c r="AF22" s="2" t="s">
        <v>98</v>
      </c>
    </row>
    <row r="23" spans="1:37" x14ac:dyDescent="0.2">
      <c r="A23" t="s">
        <v>53</v>
      </c>
      <c r="C23" s="1">
        <v>3.47</v>
      </c>
      <c r="J23" s="3">
        <v>3.3416100000000002</v>
      </c>
      <c r="L23" s="5">
        <v>1697.769</v>
      </c>
      <c r="M23" s="1">
        <v>89.5</v>
      </c>
      <c r="Q23" s="4">
        <v>50.164999999999999</v>
      </c>
      <c r="R23" s="4">
        <v>1.0760000000000001</v>
      </c>
      <c r="S23" s="4">
        <v>12.347</v>
      </c>
      <c r="T23" s="4">
        <v>8.015013117801665</v>
      </c>
      <c r="U23" s="4">
        <v>8.2000000000000003E-2</v>
      </c>
      <c r="V23" s="4">
        <v>9.1020000000000003</v>
      </c>
      <c r="W23" s="4">
        <v>11.497</v>
      </c>
      <c r="X23" s="4">
        <v>1.476</v>
      </c>
      <c r="Y23" s="4">
        <v>5.093</v>
      </c>
      <c r="Z23" s="4">
        <v>0.96299999999999997</v>
      </c>
      <c r="AA23" s="4">
        <v>3.1E-2</v>
      </c>
      <c r="AB23" s="8">
        <v>1871</v>
      </c>
      <c r="AC23" s="8"/>
      <c r="AD23" s="4">
        <v>0.5</v>
      </c>
      <c r="AE23" s="6">
        <f t="shared" ref="AE23:AE36" si="8">AB23/270</f>
        <v>6.9296296296296296</v>
      </c>
      <c r="AF23" s="6">
        <f t="shared" ref="AF23:AF36" si="9">AB23/260</f>
        <v>7.1961538461538463</v>
      </c>
      <c r="AH23" s="8"/>
    </row>
    <row r="24" spans="1:37" x14ac:dyDescent="0.2">
      <c r="A24" t="s">
        <v>54</v>
      </c>
      <c r="C24" s="1">
        <v>2.38</v>
      </c>
      <c r="J24" s="3">
        <v>2.3561999999999999</v>
      </c>
      <c r="L24" s="5">
        <v>2646.27</v>
      </c>
      <c r="M24" s="1">
        <v>89.1</v>
      </c>
      <c r="Q24" s="4">
        <v>49.741</v>
      </c>
      <c r="R24" s="4">
        <v>0.96699999999999997</v>
      </c>
      <c r="S24" s="4">
        <v>11.893000000000001</v>
      </c>
      <c r="T24" s="4">
        <v>8.0231480768640342</v>
      </c>
      <c r="U24" s="4">
        <v>0.125</v>
      </c>
      <c r="V24" s="4">
        <v>8.2370000000000001</v>
      </c>
      <c r="W24" s="4">
        <v>12.256</v>
      </c>
      <c r="X24" s="4">
        <v>2.0059999999999998</v>
      </c>
      <c r="Y24" s="4">
        <v>5.6449999999999996</v>
      </c>
      <c r="Z24" s="4">
        <v>0.90400000000000003</v>
      </c>
      <c r="AA24" s="4">
        <v>3.1E-2</v>
      </c>
      <c r="AB24" s="8">
        <v>1401</v>
      </c>
      <c r="AC24" s="8"/>
      <c r="AD24" s="4">
        <v>0.36</v>
      </c>
      <c r="AE24" s="6">
        <f t="shared" si="8"/>
        <v>5.1888888888888891</v>
      </c>
      <c r="AF24" s="6">
        <f t="shared" si="9"/>
        <v>5.3884615384615389</v>
      </c>
    </row>
    <row r="25" spans="1:37" x14ac:dyDescent="0.2">
      <c r="A25" t="s">
        <v>53</v>
      </c>
      <c r="C25" s="1">
        <v>3.87</v>
      </c>
      <c r="J25" s="3">
        <v>3.8042099999999999</v>
      </c>
      <c r="L25" s="5">
        <v>2243.2060000000001</v>
      </c>
      <c r="M25" s="1">
        <v>89.7</v>
      </c>
      <c r="Q25" s="4">
        <v>48.695</v>
      </c>
      <c r="R25" s="4">
        <v>1.1779999999999999</v>
      </c>
      <c r="S25" s="4">
        <v>12.430999999999999</v>
      </c>
      <c r="T25" s="4">
        <v>8.0234627328473245</v>
      </c>
      <c r="U25" s="4">
        <v>0.13700000000000001</v>
      </c>
      <c r="V25" s="4">
        <v>9.0830000000000002</v>
      </c>
      <c r="W25" s="4">
        <v>13.083</v>
      </c>
      <c r="X25" s="4">
        <v>1.409</v>
      </c>
      <c r="Y25" s="4">
        <v>4.8479999999999999</v>
      </c>
      <c r="Z25" s="4">
        <v>0.92600000000000005</v>
      </c>
      <c r="AA25" s="4">
        <v>3.2000000000000001E-2</v>
      </c>
      <c r="AB25" s="8">
        <v>2547</v>
      </c>
      <c r="AC25" s="8"/>
      <c r="AD25" s="4">
        <v>0.45700000000000002</v>
      </c>
      <c r="AE25" s="6">
        <f t="shared" si="8"/>
        <v>9.4333333333333336</v>
      </c>
      <c r="AF25" s="6">
        <f t="shared" si="9"/>
        <v>9.796153846153846</v>
      </c>
    </row>
    <row r="26" spans="1:37" x14ac:dyDescent="0.2">
      <c r="A26" t="s">
        <v>55</v>
      </c>
      <c r="C26" s="1">
        <v>4.3899999999999997</v>
      </c>
      <c r="J26" s="3">
        <v>4.2056199999999997</v>
      </c>
      <c r="L26" s="5">
        <v>2322.192</v>
      </c>
      <c r="M26" s="1">
        <v>90.1</v>
      </c>
      <c r="Q26" s="4">
        <v>50.79</v>
      </c>
      <c r="R26" s="4">
        <v>0.79800000000000004</v>
      </c>
      <c r="S26" s="4">
        <v>11.37</v>
      </c>
      <c r="T26" s="4">
        <v>8.0170032994961709</v>
      </c>
      <c r="U26" s="4">
        <v>0.112</v>
      </c>
      <c r="V26" s="4">
        <v>9.7919999999999998</v>
      </c>
      <c r="W26" s="4">
        <v>12.034000000000001</v>
      </c>
      <c r="X26" s="4">
        <v>1.5129999999999999</v>
      </c>
      <c r="Y26" s="4">
        <v>4.5810000000000004</v>
      </c>
      <c r="Z26" s="4">
        <v>0.80800000000000005</v>
      </c>
      <c r="AA26" s="4">
        <v>3.1E-2</v>
      </c>
      <c r="AB26" s="8">
        <v>2470</v>
      </c>
      <c r="AC26" s="8"/>
      <c r="AD26" s="4">
        <v>0.57099999999999995</v>
      </c>
      <c r="AE26" s="6">
        <f t="shared" si="8"/>
        <v>9.1481481481481488</v>
      </c>
      <c r="AF26" s="6">
        <f t="shared" si="9"/>
        <v>9.5</v>
      </c>
    </row>
    <row r="27" spans="1:37" x14ac:dyDescent="0.2">
      <c r="A27" t="s">
        <v>53</v>
      </c>
      <c r="C27" s="1">
        <v>4.05</v>
      </c>
      <c r="J27" s="3">
        <v>3.9406499999999998</v>
      </c>
      <c r="L27" s="5">
        <v>2552.1790000000001</v>
      </c>
      <c r="M27" s="1">
        <v>88.3</v>
      </c>
      <c r="Q27" s="4">
        <v>50.886000000000003</v>
      </c>
      <c r="R27" s="4">
        <v>0.96</v>
      </c>
      <c r="S27" s="4">
        <v>12.634</v>
      </c>
      <c r="T27" s="4">
        <v>8.0129451135852605</v>
      </c>
      <c r="U27" s="4">
        <v>0.115</v>
      </c>
      <c r="V27" s="4">
        <v>8.1809999999999992</v>
      </c>
      <c r="W27" s="4">
        <v>11.778</v>
      </c>
      <c r="X27" s="4">
        <v>1.607</v>
      </c>
      <c r="Y27" s="4">
        <v>4.9139999999999997</v>
      </c>
      <c r="Z27" s="4">
        <v>0.73</v>
      </c>
      <c r="AA27" s="4">
        <v>3.1E-2</v>
      </c>
      <c r="AB27" s="8">
        <v>2426</v>
      </c>
      <c r="AC27" s="8"/>
      <c r="AD27" s="4">
        <v>0.51600000000000001</v>
      </c>
      <c r="AE27" s="6">
        <f t="shared" si="8"/>
        <v>8.9851851851851858</v>
      </c>
      <c r="AF27" s="6">
        <f t="shared" si="9"/>
        <v>9.3307692307692314</v>
      </c>
    </row>
    <row r="28" spans="1:37" x14ac:dyDescent="0.2">
      <c r="A28" t="s">
        <v>56</v>
      </c>
      <c r="C28" s="1">
        <v>3.31</v>
      </c>
      <c r="J28" s="3">
        <v>3.1908400000000001</v>
      </c>
      <c r="L28" s="5">
        <v>1882.692</v>
      </c>
      <c r="M28" s="1">
        <v>90.1</v>
      </c>
      <c r="Q28" s="4">
        <v>50.597000000000001</v>
      </c>
      <c r="R28" s="4">
        <v>0.997</v>
      </c>
      <c r="S28" s="4">
        <v>11.465</v>
      </c>
      <c r="T28" s="4">
        <v>8.0191911631559698</v>
      </c>
      <c r="U28" s="4">
        <v>0.10299999999999999</v>
      </c>
      <c r="V28" s="4">
        <v>9.7729999999999997</v>
      </c>
      <c r="W28" s="4">
        <v>11.885999999999999</v>
      </c>
      <c r="X28" s="4">
        <v>1.4590000000000001</v>
      </c>
      <c r="Y28" s="4">
        <v>4.6740000000000004</v>
      </c>
      <c r="Z28" s="4">
        <v>0.84199999999999997</v>
      </c>
      <c r="AA28" s="4">
        <v>3.1E-2</v>
      </c>
      <c r="AB28" s="8">
        <v>1905</v>
      </c>
      <c r="AC28" s="8"/>
      <c r="AD28" s="4">
        <v>0.45500000000000002</v>
      </c>
      <c r="AE28" s="6">
        <f t="shared" si="8"/>
        <v>7.0555555555555554</v>
      </c>
      <c r="AF28" s="6">
        <f t="shared" si="9"/>
        <v>7.3269230769230766</v>
      </c>
    </row>
    <row r="29" spans="1:37" x14ac:dyDescent="0.2">
      <c r="A29" t="s">
        <v>57</v>
      </c>
      <c r="C29" s="1">
        <v>3.85</v>
      </c>
      <c r="J29" s="3">
        <v>3.8731</v>
      </c>
      <c r="L29" s="5">
        <v>2222.2539999999999</v>
      </c>
      <c r="M29" s="1">
        <v>88.2</v>
      </c>
      <c r="Q29" s="4">
        <v>48.703000000000003</v>
      </c>
      <c r="R29" s="4">
        <v>1.1319999999999999</v>
      </c>
      <c r="S29" s="4">
        <v>13.946</v>
      </c>
      <c r="T29" s="4">
        <v>8.0099666341779212</v>
      </c>
      <c r="U29" s="4">
        <v>9.7000000000000003E-2</v>
      </c>
      <c r="V29" s="4">
        <v>7.9169999999999998</v>
      </c>
      <c r="W29" s="4">
        <v>12.555999999999999</v>
      </c>
      <c r="X29" s="4">
        <v>1.627</v>
      </c>
      <c r="Y29" s="4">
        <v>4.8499999999999996</v>
      </c>
      <c r="Z29" s="4">
        <v>0.98099999999999998</v>
      </c>
      <c r="AA29" s="4">
        <v>3.2000000000000001E-2</v>
      </c>
      <c r="AB29" s="8">
        <v>2767</v>
      </c>
      <c r="AC29" s="8"/>
      <c r="AD29" s="4">
        <v>0.43099999999999999</v>
      </c>
      <c r="AE29" s="6">
        <f t="shared" si="8"/>
        <v>10.248148148148148</v>
      </c>
      <c r="AF29" s="6">
        <f t="shared" si="9"/>
        <v>10.642307692307693</v>
      </c>
    </row>
    <row r="30" spans="1:37" x14ac:dyDescent="0.2">
      <c r="A30" t="s">
        <v>58</v>
      </c>
      <c r="C30" s="1">
        <v>3.83</v>
      </c>
      <c r="J30" s="3">
        <v>3.7304200000000001</v>
      </c>
      <c r="L30" s="5">
        <v>1831.12</v>
      </c>
      <c r="M30" s="1">
        <v>89.6</v>
      </c>
      <c r="Q30" s="4">
        <v>50.072000000000003</v>
      </c>
      <c r="R30" s="4">
        <v>0.94</v>
      </c>
      <c r="S30" s="4">
        <v>12.617000000000001</v>
      </c>
      <c r="T30" s="4">
        <v>8.0153953162335547</v>
      </c>
      <c r="U30" s="4">
        <v>0.124</v>
      </c>
      <c r="V30" s="4">
        <v>9.1959999999999997</v>
      </c>
      <c r="W30" s="4">
        <v>11.419</v>
      </c>
      <c r="X30" s="4">
        <v>1.569</v>
      </c>
      <c r="Y30" s="4">
        <v>4.9770000000000003</v>
      </c>
      <c r="Z30" s="4">
        <v>0.88800000000000001</v>
      </c>
      <c r="AA30" s="4">
        <v>3.1E-2</v>
      </c>
      <c r="AB30" s="8">
        <v>2147</v>
      </c>
      <c r="AC30" s="8"/>
      <c r="AD30" s="4">
        <v>0.53300000000000003</v>
      </c>
      <c r="AE30" s="6">
        <f t="shared" si="8"/>
        <v>7.9518518518518517</v>
      </c>
      <c r="AF30" s="6">
        <f t="shared" si="9"/>
        <v>8.2576923076923077</v>
      </c>
    </row>
    <row r="31" spans="1:37" x14ac:dyDescent="0.2">
      <c r="A31" t="s">
        <v>57</v>
      </c>
      <c r="C31" s="1">
        <v>3.46</v>
      </c>
      <c r="J31" s="3">
        <v>3.38042</v>
      </c>
      <c r="L31" s="5">
        <v>1724.405</v>
      </c>
      <c r="M31" s="1">
        <v>88.4</v>
      </c>
      <c r="Q31" s="4">
        <v>50.241</v>
      </c>
      <c r="R31" s="4">
        <v>0.99</v>
      </c>
      <c r="S31" s="4">
        <v>12.721</v>
      </c>
      <c r="T31" s="4">
        <v>8.0385790164181739</v>
      </c>
      <c r="U31" s="4">
        <v>0.115</v>
      </c>
      <c r="V31" s="4">
        <v>8.1639999999999997</v>
      </c>
      <c r="W31" s="4">
        <v>11.792999999999999</v>
      </c>
      <c r="X31" s="4">
        <v>1.5840000000000001</v>
      </c>
      <c r="Y31" s="4">
        <v>5.23</v>
      </c>
      <c r="Z31" s="4">
        <v>0.93799999999999994</v>
      </c>
      <c r="AA31" s="4">
        <v>3.1E-2</v>
      </c>
      <c r="AB31" s="8">
        <v>1748</v>
      </c>
      <c r="AC31" s="8"/>
      <c r="AD31" s="4">
        <v>0.55400000000000005</v>
      </c>
      <c r="AE31" s="6">
        <f t="shared" si="8"/>
        <v>6.4740740740740739</v>
      </c>
      <c r="AF31" s="6">
        <f t="shared" si="9"/>
        <v>6.7230769230769232</v>
      </c>
    </row>
    <row r="32" spans="1:37" x14ac:dyDescent="0.2">
      <c r="A32" t="s">
        <v>59</v>
      </c>
      <c r="C32" s="1">
        <v>3.72</v>
      </c>
      <c r="J32" s="3">
        <v>3.67164</v>
      </c>
      <c r="L32" s="5">
        <v>1730.211</v>
      </c>
      <c r="M32" s="1">
        <v>89.7</v>
      </c>
      <c r="Q32" s="4">
        <v>49.655999999999999</v>
      </c>
      <c r="R32" s="4">
        <v>0.996</v>
      </c>
      <c r="S32" s="4">
        <v>12.632</v>
      </c>
      <c r="T32" s="4">
        <v>8.0165143352390622</v>
      </c>
      <c r="U32" s="4">
        <v>0.14499999999999999</v>
      </c>
      <c r="V32" s="4">
        <v>9.2799999999999994</v>
      </c>
      <c r="W32" s="4">
        <v>11.843999999999999</v>
      </c>
      <c r="X32" s="4">
        <v>1.649</v>
      </c>
      <c r="Y32" s="4">
        <v>4.657</v>
      </c>
      <c r="Z32" s="4">
        <v>0.94399999999999995</v>
      </c>
      <c r="AA32" s="4">
        <v>3.1E-2</v>
      </c>
      <c r="AB32" s="8">
        <v>2155</v>
      </c>
      <c r="AC32" s="8"/>
      <c r="AD32" s="4">
        <v>0.51500000000000001</v>
      </c>
      <c r="AE32" s="6">
        <f t="shared" si="8"/>
        <v>7.9814814814814818</v>
      </c>
      <c r="AF32" s="6">
        <f t="shared" si="9"/>
        <v>8.2884615384615383</v>
      </c>
    </row>
    <row r="33" spans="1:35" x14ac:dyDescent="0.2">
      <c r="A33" t="s">
        <v>57</v>
      </c>
      <c r="C33" s="1">
        <v>3.11</v>
      </c>
      <c r="J33" s="3">
        <v>3.0353599999999998</v>
      </c>
      <c r="L33" s="5">
        <v>1634.8</v>
      </c>
      <c r="M33" s="1">
        <v>89.9</v>
      </c>
      <c r="Q33" s="4">
        <v>49.438000000000002</v>
      </c>
      <c r="R33" s="4">
        <v>1.1299999999999999</v>
      </c>
      <c r="S33" s="4">
        <v>12.699</v>
      </c>
      <c r="T33" s="4">
        <v>8.0155690580855623</v>
      </c>
      <c r="U33" s="4">
        <v>0.13500000000000001</v>
      </c>
      <c r="V33" s="4">
        <v>9.4280000000000008</v>
      </c>
      <c r="W33" s="4">
        <v>11.725</v>
      </c>
      <c r="X33" s="4">
        <v>1.4930000000000001</v>
      </c>
      <c r="Y33" s="4">
        <v>4.8719999999999999</v>
      </c>
      <c r="Z33" s="4">
        <v>0.88100000000000001</v>
      </c>
      <c r="AA33" s="4">
        <v>3.1E-2</v>
      </c>
      <c r="AB33" s="8">
        <v>1716</v>
      </c>
      <c r="AC33" s="8"/>
      <c r="AD33" s="4">
        <v>0.46500000000000002</v>
      </c>
      <c r="AE33" s="6">
        <f t="shared" si="8"/>
        <v>6.3555555555555552</v>
      </c>
      <c r="AF33" s="6">
        <f t="shared" si="9"/>
        <v>6.6</v>
      </c>
    </row>
    <row r="34" spans="1:35" x14ac:dyDescent="0.2">
      <c r="A34" t="s">
        <v>60</v>
      </c>
      <c r="C34" s="1">
        <v>2.79</v>
      </c>
      <c r="J34" s="3">
        <v>2.7202500000000001</v>
      </c>
      <c r="L34" s="5">
        <v>1584.375</v>
      </c>
      <c r="M34" s="1">
        <v>90.1</v>
      </c>
      <c r="Q34" s="4">
        <v>50.277000000000001</v>
      </c>
      <c r="R34" s="4">
        <v>0.86799999999999999</v>
      </c>
      <c r="S34" s="4">
        <v>12.334</v>
      </c>
      <c r="T34" s="4">
        <v>8.0229627595838053</v>
      </c>
      <c r="U34" s="4">
        <v>0.155</v>
      </c>
      <c r="V34" s="4">
        <v>9.82</v>
      </c>
      <c r="W34" s="4">
        <v>11.465999999999999</v>
      </c>
      <c r="X34" s="4">
        <v>1.52</v>
      </c>
      <c r="Y34" s="4">
        <v>4.59</v>
      </c>
      <c r="Z34" s="4">
        <v>0.76500000000000001</v>
      </c>
      <c r="AA34" s="4">
        <v>3.1E-2</v>
      </c>
      <c r="AB34" s="8">
        <v>1651</v>
      </c>
      <c r="AC34" s="8"/>
      <c r="AD34" s="4">
        <v>0.39500000000000002</v>
      </c>
      <c r="AE34" s="6">
        <f t="shared" si="8"/>
        <v>6.1148148148148147</v>
      </c>
      <c r="AF34" s="6">
        <f t="shared" si="9"/>
        <v>6.35</v>
      </c>
    </row>
    <row r="35" spans="1:35" x14ac:dyDescent="0.2">
      <c r="A35" t="s">
        <v>61</v>
      </c>
      <c r="C35" s="1">
        <v>2.9999999999999996</v>
      </c>
      <c r="J35" s="3">
        <v>2.8979999999999997</v>
      </c>
      <c r="L35" s="5">
        <v>1738.8</v>
      </c>
      <c r="M35" s="1">
        <v>89.9</v>
      </c>
      <c r="Q35" s="4">
        <v>49.87</v>
      </c>
      <c r="R35" s="4">
        <v>1.0089999999999999</v>
      </c>
      <c r="S35" s="4">
        <v>12.471</v>
      </c>
      <c r="T35" s="4">
        <v>8.0148681227389016</v>
      </c>
      <c r="U35" s="4">
        <v>0.13300000000000001</v>
      </c>
      <c r="V35" s="4">
        <v>9.4969999999999999</v>
      </c>
      <c r="W35" s="4">
        <v>11.766999999999999</v>
      </c>
      <c r="X35" s="4">
        <v>1.581</v>
      </c>
      <c r="Y35" s="4">
        <v>4.6500000000000004</v>
      </c>
      <c r="Z35" s="4">
        <v>0.82599999999999996</v>
      </c>
      <c r="AA35" s="4">
        <v>3.1E-2</v>
      </c>
      <c r="AB35" s="8">
        <v>1877</v>
      </c>
      <c r="AC35" s="8"/>
      <c r="AD35" s="4">
        <v>0.38800000000000001</v>
      </c>
      <c r="AE35" s="6">
        <f t="shared" si="8"/>
        <v>6.9518518518518517</v>
      </c>
      <c r="AF35" s="6">
        <f t="shared" si="9"/>
        <v>7.2192307692307693</v>
      </c>
    </row>
    <row r="36" spans="1:35" x14ac:dyDescent="0.2">
      <c r="A36" t="s">
        <v>61</v>
      </c>
      <c r="C36" s="1">
        <v>3.2</v>
      </c>
      <c r="J36" s="3">
        <v>3.2223999999999999</v>
      </c>
      <c r="L36" s="5">
        <v>1711.8999999999999</v>
      </c>
      <c r="M36" s="1">
        <v>86.9</v>
      </c>
      <c r="Q36" s="4">
        <v>48.783000000000001</v>
      </c>
      <c r="R36" s="4">
        <v>1.252</v>
      </c>
      <c r="S36" s="4">
        <v>15.007</v>
      </c>
      <c r="T36" s="4">
        <v>8.0015824136519722</v>
      </c>
      <c r="U36" s="4">
        <v>0.14899999999999999</v>
      </c>
      <c r="V36" s="4">
        <v>6.89</v>
      </c>
      <c r="W36" s="4">
        <v>11.069000000000001</v>
      </c>
      <c r="X36" s="4">
        <v>1.847</v>
      </c>
      <c r="Y36" s="4">
        <v>5.6989999999999998</v>
      </c>
      <c r="Z36" s="4">
        <v>1.1140000000000001</v>
      </c>
      <c r="AA36" s="4">
        <v>3.2000000000000001E-2</v>
      </c>
      <c r="AB36" s="8">
        <v>2164</v>
      </c>
      <c r="AC36" s="8"/>
      <c r="AD36" s="4">
        <v>0.40400000000000003</v>
      </c>
      <c r="AE36" s="6">
        <f t="shared" si="8"/>
        <v>8.0148148148148142</v>
      </c>
      <c r="AF36" s="6">
        <f t="shared" si="9"/>
        <v>8.3230769230769237</v>
      </c>
    </row>
    <row r="37" spans="1:35" x14ac:dyDescent="0.2">
      <c r="A37" t="s">
        <v>69</v>
      </c>
      <c r="C37" s="1">
        <v>2.9</v>
      </c>
      <c r="J37" s="3">
        <v>2.8100999999999998</v>
      </c>
      <c r="L37" s="5">
        <v>2422.5</v>
      </c>
      <c r="M37" s="1">
        <v>87.9</v>
      </c>
      <c r="Q37" s="4">
        <v>49.808999999999997</v>
      </c>
      <c r="R37" s="4">
        <v>1.004</v>
      </c>
      <c r="S37" s="4">
        <v>13.811999999999999</v>
      </c>
      <c r="T37" s="4">
        <v>8.0202083485709146</v>
      </c>
      <c r="U37" s="4">
        <v>0.17399999999999999</v>
      </c>
      <c r="V37" s="4">
        <v>7.7450000000000001</v>
      </c>
      <c r="W37" s="4">
        <v>11.486000000000001</v>
      </c>
      <c r="X37" s="4">
        <v>1.7829999999999999</v>
      </c>
      <c r="Y37" s="4">
        <v>5.133</v>
      </c>
      <c r="Z37" s="4">
        <v>0.85</v>
      </c>
      <c r="AA37" s="4">
        <v>3.1E-2</v>
      </c>
      <c r="AB37" s="8">
        <v>2144</v>
      </c>
      <c r="AC37" s="8"/>
      <c r="AD37" s="4">
        <v>0.318</v>
      </c>
      <c r="AE37" s="6">
        <f t="shared" ref="AE37:AE43" si="10">AB37/270</f>
        <v>7.9407407407407407</v>
      </c>
      <c r="AF37" s="6">
        <f t="shared" ref="AF37:AF43" si="11">AB37/260</f>
        <v>8.2461538461538453</v>
      </c>
    </row>
    <row r="38" spans="1:35" x14ac:dyDescent="0.2">
      <c r="A38" t="s">
        <v>69</v>
      </c>
      <c r="C38" s="1">
        <v>2.5</v>
      </c>
      <c r="J38" s="3">
        <v>2.4674999999999998</v>
      </c>
      <c r="L38" s="5">
        <v>2072.6999999999998</v>
      </c>
      <c r="M38" s="1">
        <v>86.9</v>
      </c>
      <c r="Q38" s="4">
        <v>48.648000000000003</v>
      </c>
      <c r="R38" s="4">
        <v>1.052</v>
      </c>
      <c r="S38" s="4">
        <v>15.291</v>
      </c>
      <c r="T38" s="4">
        <v>8.0985277036835477</v>
      </c>
      <c r="U38" s="4">
        <v>0.115</v>
      </c>
      <c r="V38" s="4">
        <v>6.8879999999999999</v>
      </c>
      <c r="W38" s="4">
        <v>11.103</v>
      </c>
      <c r="X38" s="4">
        <v>2.0419999999999998</v>
      </c>
      <c r="Y38" s="4">
        <v>5.6870000000000003</v>
      </c>
      <c r="Z38" s="4">
        <v>0.88500000000000001</v>
      </c>
      <c r="AA38" s="4">
        <v>3.1E-2</v>
      </c>
      <c r="AB38" s="8">
        <v>2243</v>
      </c>
      <c r="AC38" s="8"/>
      <c r="AD38" s="4">
        <v>0.23899999999999999</v>
      </c>
      <c r="AE38" s="6">
        <f t="shared" si="10"/>
        <v>8.3074074074074069</v>
      </c>
      <c r="AF38" s="6">
        <f t="shared" si="11"/>
        <v>8.6269230769230774</v>
      </c>
    </row>
    <row r="39" spans="1:35" x14ac:dyDescent="0.2">
      <c r="A39" t="s">
        <v>71</v>
      </c>
      <c r="C39" s="1">
        <v>2.13</v>
      </c>
      <c r="J39" s="3">
        <v>2.1598199999999999</v>
      </c>
      <c r="L39" s="5">
        <v>1868.8020000000001</v>
      </c>
      <c r="M39" s="1">
        <v>86.6</v>
      </c>
      <c r="Q39" s="4">
        <v>47.088000000000001</v>
      </c>
      <c r="R39" s="4">
        <v>1.147</v>
      </c>
      <c r="S39" s="4">
        <v>15.894</v>
      </c>
      <c r="T39" s="4">
        <v>8.0062218482330394</v>
      </c>
      <c r="U39" s="4">
        <v>0.106</v>
      </c>
      <c r="V39" s="4">
        <v>6.58</v>
      </c>
      <c r="W39" s="4">
        <v>12.592000000000001</v>
      </c>
      <c r="X39" s="4">
        <v>1.5389999999999999</v>
      </c>
      <c r="Y39" s="4">
        <v>5.9139999999999997</v>
      </c>
      <c r="Z39" s="4">
        <v>0.94499999999999995</v>
      </c>
      <c r="AA39" s="4">
        <v>3.2000000000000001E-2</v>
      </c>
      <c r="AB39" s="8">
        <v>2290</v>
      </c>
      <c r="AC39" s="8"/>
      <c r="AD39" s="4">
        <v>0.183</v>
      </c>
      <c r="AE39" s="6">
        <f t="shared" si="10"/>
        <v>8.481481481481481</v>
      </c>
      <c r="AF39" s="6">
        <f t="shared" si="11"/>
        <v>8.8076923076923084</v>
      </c>
    </row>
    <row r="40" spans="1:35" x14ac:dyDescent="0.2">
      <c r="A40" t="s">
        <v>69</v>
      </c>
      <c r="C40" s="1">
        <v>2.2999999999999998</v>
      </c>
      <c r="J40" s="3">
        <v>2.2907999999999999</v>
      </c>
      <c r="L40" s="5">
        <v>1892.4</v>
      </c>
      <c r="M40" s="1">
        <v>86.1</v>
      </c>
      <c r="Q40" s="4">
        <v>49.454999999999998</v>
      </c>
      <c r="R40" s="4">
        <v>1.099</v>
      </c>
      <c r="S40" s="4">
        <v>15.108000000000001</v>
      </c>
      <c r="T40" s="4">
        <v>8.0239508677206466</v>
      </c>
      <c r="U40" s="4">
        <v>0.13600000000000001</v>
      </c>
      <c r="V40" s="4">
        <v>6.476</v>
      </c>
      <c r="W40" s="4">
        <v>10.787000000000001</v>
      </c>
      <c r="X40" s="4">
        <v>1.998</v>
      </c>
      <c r="Y40" s="4">
        <v>5.7439999999999998</v>
      </c>
      <c r="Z40" s="4">
        <v>0.98299999999999998</v>
      </c>
      <c r="AA40" s="4">
        <v>3.1E-2</v>
      </c>
      <c r="AB40" s="8">
        <v>1952</v>
      </c>
      <c r="AC40" s="8"/>
      <c r="AD40" s="4">
        <v>0.24199999999999999</v>
      </c>
      <c r="AE40" s="6">
        <f t="shared" si="10"/>
        <v>7.2296296296296294</v>
      </c>
      <c r="AF40" s="6">
        <f t="shared" si="11"/>
        <v>7.5076923076923077</v>
      </c>
    </row>
    <row r="41" spans="1:35" x14ac:dyDescent="0.2">
      <c r="A41" t="s">
        <v>71</v>
      </c>
      <c r="C41" s="1">
        <v>2.95</v>
      </c>
      <c r="J41" s="3">
        <v>2.9942500000000001</v>
      </c>
      <c r="L41" s="5">
        <v>3003.3849999999998</v>
      </c>
      <c r="M41" s="1">
        <v>85.9</v>
      </c>
      <c r="Q41" s="4">
        <v>49.433999999999997</v>
      </c>
      <c r="R41" s="4">
        <v>0.88800000000000001</v>
      </c>
      <c r="S41" s="4">
        <v>15.436</v>
      </c>
      <c r="T41" s="4">
        <v>8.0067911278380883</v>
      </c>
      <c r="U41" s="4">
        <v>0.14799999999999999</v>
      </c>
      <c r="V41" s="4">
        <v>6.4050000000000002</v>
      </c>
      <c r="W41" s="4">
        <v>11.175000000000001</v>
      </c>
      <c r="X41" s="4">
        <v>2.0190000000000001</v>
      </c>
      <c r="Y41" s="4">
        <v>5.54</v>
      </c>
      <c r="Z41" s="4">
        <v>0.76100000000000001</v>
      </c>
      <c r="AA41" s="4">
        <v>3.2000000000000001E-2</v>
      </c>
      <c r="AB41" s="8">
        <v>3167</v>
      </c>
      <c r="AC41" s="8"/>
      <c r="AD41" s="4">
        <v>0.23</v>
      </c>
      <c r="AE41" s="6">
        <f t="shared" si="10"/>
        <v>11.729629629629629</v>
      </c>
      <c r="AF41" s="6">
        <f t="shared" si="11"/>
        <v>12.180769230769231</v>
      </c>
    </row>
    <row r="42" spans="1:35" x14ac:dyDescent="0.2">
      <c r="A42" t="s">
        <v>58</v>
      </c>
      <c r="C42" s="1">
        <v>1.78</v>
      </c>
      <c r="J42" s="3">
        <v>1.8298400000000001</v>
      </c>
      <c r="L42" s="5">
        <v>970.43200000000002</v>
      </c>
      <c r="M42" s="1">
        <v>84.5</v>
      </c>
      <c r="Q42" s="4">
        <v>46.314</v>
      </c>
      <c r="R42" s="4">
        <v>1.1930000000000001</v>
      </c>
      <c r="S42" s="4">
        <v>17.72</v>
      </c>
      <c r="T42" s="4">
        <v>8.0110068946536312</v>
      </c>
      <c r="U42" s="4">
        <v>0.13700000000000001</v>
      </c>
      <c r="V42" s="4">
        <v>5.319</v>
      </c>
      <c r="W42" s="4">
        <v>11.331</v>
      </c>
      <c r="X42" s="4">
        <v>2.2389999999999999</v>
      </c>
      <c r="Y42" s="4">
        <v>6.3470000000000004</v>
      </c>
      <c r="Z42" s="4">
        <v>1.1830000000000001</v>
      </c>
      <c r="AA42" s="4">
        <v>3.2000000000000001E-2</v>
      </c>
      <c r="AB42" s="8">
        <v>1536</v>
      </c>
      <c r="AC42" s="8"/>
      <c r="AD42" s="4">
        <v>0.20599999999999999</v>
      </c>
      <c r="AE42" s="6">
        <f t="shared" si="10"/>
        <v>5.6888888888888891</v>
      </c>
      <c r="AF42" s="6">
        <f t="shared" si="11"/>
        <v>5.907692307692308</v>
      </c>
    </row>
    <row r="43" spans="1:35" x14ac:dyDescent="0.2">
      <c r="A43" t="s">
        <v>69</v>
      </c>
      <c r="C43" s="1">
        <v>3.4</v>
      </c>
      <c r="J43" s="3">
        <v>3.5019999999999998</v>
      </c>
      <c r="L43" s="5">
        <v>3193</v>
      </c>
      <c r="M43" s="1">
        <v>83.8</v>
      </c>
      <c r="Q43" s="4">
        <v>48.908000000000001</v>
      </c>
      <c r="R43" s="4">
        <v>1.135</v>
      </c>
      <c r="S43" s="4">
        <v>16.384</v>
      </c>
      <c r="T43" s="4">
        <v>7.9995281001831158</v>
      </c>
      <c r="U43" s="4">
        <v>0.16200000000000001</v>
      </c>
      <c r="V43" s="4">
        <v>5.3360000000000003</v>
      </c>
      <c r="W43" s="4">
        <v>10.836</v>
      </c>
      <c r="X43" s="4">
        <v>1.871</v>
      </c>
      <c r="Y43" s="4">
        <v>6.2610000000000001</v>
      </c>
      <c r="Z43" s="4">
        <v>0.90800000000000003</v>
      </c>
      <c r="AA43" s="4">
        <v>3.2000000000000001E-2</v>
      </c>
      <c r="AB43" s="8">
        <v>3459</v>
      </c>
      <c r="AC43" s="8"/>
      <c r="AD43" s="4">
        <v>0.27600000000000002</v>
      </c>
      <c r="AE43" s="6">
        <f t="shared" si="10"/>
        <v>12.811111111111112</v>
      </c>
      <c r="AF43" s="6">
        <f t="shared" si="11"/>
        <v>13.303846153846154</v>
      </c>
    </row>
    <row r="44" spans="1:35" x14ac:dyDescent="0.2">
      <c r="A44" t="s">
        <v>69</v>
      </c>
      <c r="C44" s="1">
        <v>3.2</v>
      </c>
      <c r="J44" s="3">
        <v>3.2096</v>
      </c>
      <c r="L44" s="5">
        <v>3510.4999999999995</v>
      </c>
      <c r="M44" s="1">
        <v>83</v>
      </c>
      <c r="Q44" s="4">
        <v>49.600999999999999</v>
      </c>
      <c r="R44" s="4">
        <v>1.069</v>
      </c>
      <c r="S44" s="4">
        <v>16.541</v>
      </c>
      <c r="T44" s="4">
        <v>8.0010915492325729</v>
      </c>
      <c r="U44" s="4">
        <v>0.14799999999999999</v>
      </c>
      <c r="V44" s="4">
        <v>4.7050000000000001</v>
      </c>
      <c r="W44" s="4">
        <v>9.0169999999999995</v>
      </c>
      <c r="X44" s="4">
        <v>2.4660000000000002</v>
      </c>
      <c r="Y44" s="4">
        <v>7.27</v>
      </c>
      <c r="Z44" s="4">
        <v>0.96299999999999997</v>
      </c>
      <c r="AA44" s="4">
        <v>3.2000000000000001E-2</v>
      </c>
      <c r="AB44" s="8">
        <v>3506</v>
      </c>
      <c r="AC44" s="8"/>
      <c r="AD44" s="4">
        <v>0.23200000000000001</v>
      </c>
    </row>
    <row r="45" spans="1:35" x14ac:dyDescent="0.2">
      <c r="A45" t="s">
        <v>99</v>
      </c>
      <c r="C45" s="1"/>
      <c r="J45" s="3"/>
      <c r="L45" s="5"/>
      <c r="M45" s="1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8"/>
      <c r="AC45" s="8"/>
      <c r="AD45" s="4"/>
    </row>
    <row r="46" spans="1:35" ht="19" x14ac:dyDescent="0.2">
      <c r="A46" s="33" t="s">
        <v>116</v>
      </c>
      <c r="B46" s="33"/>
      <c r="C46" s="1"/>
      <c r="J46" s="3"/>
      <c r="L46" s="5"/>
      <c r="M46" s="1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8"/>
      <c r="AC46" s="8"/>
      <c r="AD46" s="4"/>
    </row>
    <row r="47" spans="1:35" x14ac:dyDescent="0.2">
      <c r="C47" s="1"/>
      <c r="J47" s="3"/>
      <c r="L47" s="5"/>
      <c r="M47" s="1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8"/>
      <c r="AC47" s="8"/>
      <c r="AD47" s="4"/>
    </row>
    <row r="48" spans="1:35" x14ac:dyDescent="0.2">
      <c r="A48" s="10" t="s">
        <v>0</v>
      </c>
      <c r="B48" s="34"/>
      <c r="C48" s="11" t="s">
        <v>37</v>
      </c>
      <c r="J48" s="1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6"/>
      <c r="AF48" s="3"/>
      <c r="AG48" s="3"/>
      <c r="AH48" s="3"/>
      <c r="AI48" s="3"/>
    </row>
    <row r="49" spans="1:35" x14ac:dyDescent="0.2">
      <c r="A49" s="12" t="s">
        <v>11</v>
      </c>
      <c r="C49" s="13">
        <v>1.101</v>
      </c>
      <c r="AB49" s="8"/>
      <c r="AC49" s="8"/>
      <c r="AE49" s="6"/>
    </row>
    <row r="50" spans="1:35" x14ac:dyDescent="0.2">
      <c r="A50" s="12" t="s">
        <v>26</v>
      </c>
      <c r="C50" s="13">
        <v>1.022</v>
      </c>
      <c r="J50" s="1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1:35" x14ac:dyDescent="0.2">
      <c r="A51" s="12" t="s">
        <v>27</v>
      </c>
      <c r="C51" s="13">
        <v>1.0029999999999999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1:35" x14ac:dyDescent="0.2">
      <c r="A52" s="12" t="s">
        <v>28</v>
      </c>
      <c r="C52" s="13">
        <v>1.073</v>
      </c>
    </row>
    <row r="53" spans="1:35" x14ac:dyDescent="0.2">
      <c r="A53" s="12" t="s">
        <v>29</v>
      </c>
      <c r="C53" s="13">
        <v>1.0549999999999999</v>
      </c>
    </row>
    <row r="54" spans="1:35" x14ac:dyDescent="0.2">
      <c r="A54" s="12" t="s">
        <v>16</v>
      </c>
      <c r="C54" s="13">
        <v>1.0049999999999999</v>
      </c>
    </row>
    <row r="55" spans="1:35" x14ac:dyDescent="0.2">
      <c r="A55" s="12" t="s">
        <v>17</v>
      </c>
      <c r="C55" s="13">
        <v>1.0509999999999999</v>
      </c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</row>
    <row r="56" spans="1:35" x14ac:dyDescent="0.2">
      <c r="A56" s="12" t="s">
        <v>19</v>
      </c>
      <c r="C56" s="13">
        <v>1.0669999999999999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35" x14ac:dyDescent="0.2">
      <c r="A57" s="12" t="s">
        <v>21</v>
      </c>
      <c r="C57" s="13">
        <v>1.036</v>
      </c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35" x14ac:dyDescent="0.2">
      <c r="A58" s="12" t="s">
        <v>22</v>
      </c>
      <c r="C58" s="13">
        <v>1.0880000000000001</v>
      </c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35" x14ac:dyDescent="0.2">
      <c r="A59" s="12" t="s">
        <v>30</v>
      </c>
      <c r="C59" s="13">
        <v>1.1180000000000001</v>
      </c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35" x14ac:dyDescent="0.2">
      <c r="A60" s="12" t="s">
        <v>31</v>
      </c>
      <c r="C60" s="13">
        <v>1.1140000000000001</v>
      </c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35" x14ac:dyDescent="0.2">
      <c r="A61" s="12" t="s">
        <v>32</v>
      </c>
      <c r="C61" s="13">
        <v>1.008</v>
      </c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35" x14ac:dyDescent="0.2">
      <c r="A62" s="12" t="s">
        <v>24</v>
      </c>
      <c r="C62" s="13">
        <v>0.95899999999999996</v>
      </c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35" x14ac:dyDescent="0.2">
      <c r="A63" s="12" t="s">
        <v>12</v>
      </c>
      <c r="C63" s="13">
        <v>0.96799999999999997</v>
      </c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spans="1:35" x14ac:dyDescent="0.2">
      <c r="A64" s="12" t="s">
        <v>20</v>
      </c>
      <c r="C64" s="13">
        <v>1.0349999999999999</v>
      </c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spans="1:35" x14ac:dyDescent="0.2">
      <c r="A65" s="12" t="s">
        <v>13</v>
      </c>
      <c r="C65" s="13">
        <v>1.0640000000000001</v>
      </c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spans="1:35" x14ac:dyDescent="0.2">
      <c r="A66" s="12" t="s">
        <v>14</v>
      </c>
      <c r="C66" s="13">
        <v>1.036</v>
      </c>
      <c r="J66" s="2"/>
      <c r="K66" s="8"/>
    </row>
    <row r="67" spans="1:35" x14ac:dyDescent="0.2">
      <c r="A67" s="12" t="s">
        <v>15</v>
      </c>
      <c r="C67" s="13">
        <v>1.097</v>
      </c>
      <c r="J67" s="2"/>
      <c r="K67" s="4"/>
    </row>
    <row r="68" spans="1:35" x14ac:dyDescent="0.2">
      <c r="A68" s="12" t="s">
        <v>33</v>
      </c>
      <c r="C68" s="13">
        <v>1.042</v>
      </c>
    </row>
    <row r="69" spans="1:35" x14ac:dyDescent="0.2">
      <c r="A69" s="12" t="s">
        <v>18</v>
      </c>
      <c r="C69" s="13">
        <v>1.0680000000000001</v>
      </c>
      <c r="J69" s="2"/>
      <c r="K69" s="6"/>
    </row>
    <row r="70" spans="1:35" x14ac:dyDescent="0.2">
      <c r="A70" s="12" t="s">
        <v>23</v>
      </c>
      <c r="C70" s="13">
        <v>1.0569999999999999</v>
      </c>
      <c r="J70" s="2"/>
      <c r="K70" s="6"/>
    </row>
    <row r="71" spans="1:35" x14ac:dyDescent="0.2">
      <c r="A71" s="12" t="s">
        <v>34</v>
      </c>
      <c r="C71" s="13">
        <v>1.1060000000000001</v>
      </c>
    </row>
    <row r="72" spans="1:35" x14ac:dyDescent="0.2">
      <c r="A72" s="12" t="s">
        <v>35</v>
      </c>
      <c r="C72" s="13">
        <v>1.093</v>
      </c>
    </row>
    <row r="73" spans="1:35" x14ac:dyDescent="0.2">
      <c r="A73" s="12" t="s">
        <v>53</v>
      </c>
      <c r="C73" s="13">
        <v>0.96299999999999997</v>
      </c>
    </row>
    <row r="74" spans="1:35" x14ac:dyDescent="0.2">
      <c r="A74" s="12" t="s">
        <v>54</v>
      </c>
      <c r="C74" s="13">
        <v>0.99</v>
      </c>
    </row>
    <row r="75" spans="1:35" x14ac:dyDescent="0.2">
      <c r="A75" s="12" t="s">
        <v>53</v>
      </c>
      <c r="C75" s="13">
        <v>0.98299999999999998</v>
      </c>
    </row>
    <row r="76" spans="1:35" x14ac:dyDescent="0.2">
      <c r="A76" s="12" t="s">
        <v>55</v>
      </c>
      <c r="C76" s="13">
        <v>0.95799999999999996</v>
      </c>
    </row>
    <row r="77" spans="1:35" x14ac:dyDescent="0.2">
      <c r="A77" s="12" t="s">
        <v>53</v>
      </c>
      <c r="C77" s="13">
        <v>0.97299999999999998</v>
      </c>
    </row>
    <row r="78" spans="1:35" x14ac:dyDescent="0.2">
      <c r="A78" s="12" t="s">
        <v>56</v>
      </c>
      <c r="C78" s="13">
        <v>0.96399999999999997</v>
      </c>
    </row>
    <row r="79" spans="1:35" x14ac:dyDescent="0.2">
      <c r="A79" s="12" t="s">
        <v>57</v>
      </c>
      <c r="C79" s="13">
        <v>1.006</v>
      </c>
    </row>
    <row r="80" spans="1:35" x14ac:dyDescent="0.2">
      <c r="A80" s="12" t="s">
        <v>58</v>
      </c>
      <c r="C80" s="13">
        <v>0.97399999999999998</v>
      </c>
    </row>
    <row r="81" spans="1:3" x14ac:dyDescent="0.2">
      <c r="A81" s="12" t="s">
        <v>57</v>
      </c>
      <c r="C81" s="13">
        <v>0.97699999999999998</v>
      </c>
    </row>
    <row r="82" spans="1:3" x14ac:dyDescent="0.2">
      <c r="A82" s="12" t="s">
        <v>59</v>
      </c>
      <c r="C82" s="13">
        <v>0.98699999999999999</v>
      </c>
    </row>
    <row r="83" spans="1:3" x14ac:dyDescent="0.2">
      <c r="A83" s="12" t="s">
        <v>57</v>
      </c>
      <c r="C83" s="13">
        <v>0.97599999999999998</v>
      </c>
    </row>
    <row r="84" spans="1:3" x14ac:dyDescent="0.2">
      <c r="A84" s="12" t="s">
        <v>60</v>
      </c>
      <c r="C84" s="13">
        <v>0.97499999999999998</v>
      </c>
    </row>
    <row r="85" spans="1:3" x14ac:dyDescent="0.2">
      <c r="A85" s="12" t="s">
        <v>61</v>
      </c>
      <c r="C85" s="13">
        <v>0.96599999999999997</v>
      </c>
    </row>
    <row r="86" spans="1:3" x14ac:dyDescent="0.2">
      <c r="A86" s="12" t="s">
        <v>61</v>
      </c>
      <c r="C86" s="13">
        <v>1.0069999999999999</v>
      </c>
    </row>
    <row r="87" spans="1:3" x14ac:dyDescent="0.2">
      <c r="A87" s="12" t="s">
        <v>62</v>
      </c>
      <c r="C87" s="13">
        <v>0.96799999999999997</v>
      </c>
    </row>
    <row r="88" spans="1:3" x14ac:dyDescent="0.2">
      <c r="A88" s="12" t="s">
        <v>63</v>
      </c>
      <c r="C88" s="13">
        <v>0.98</v>
      </c>
    </row>
    <row r="89" spans="1:3" x14ac:dyDescent="0.2">
      <c r="A89" s="12" t="s">
        <v>64</v>
      </c>
      <c r="C89" s="13">
        <v>0.97499999999999998</v>
      </c>
    </row>
    <row r="90" spans="1:3" x14ac:dyDescent="0.2">
      <c r="A90" s="12" t="s">
        <v>65</v>
      </c>
      <c r="C90" s="13">
        <v>0.995</v>
      </c>
    </row>
    <row r="91" spans="1:3" x14ac:dyDescent="0.2">
      <c r="A91" s="12" t="s">
        <v>66</v>
      </c>
      <c r="C91" s="13">
        <v>1.0149999999999999</v>
      </c>
    </row>
    <row r="92" spans="1:3" x14ac:dyDescent="0.2">
      <c r="A92" s="12" t="s">
        <v>67</v>
      </c>
      <c r="C92" s="13">
        <v>1.046</v>
      </c>
    </row>
    <row r="93" spans="1:3" x14ac:dyDescent="0.2">
      <c r="A93" s="12" t="s">
        <v>68</v>
      </c>
      <c r="C93" s="13">
        <v>0.95899999999999996</v>
      </c>
    </row>
    <row r="94" spans="1:3" x14ac:dyDescent="0.2">
      <c r="A94" s="12" t="s">
        <v>69</v>
      </c>
      <c r="C94" s="13">
        <v>0.96899999999999997</v>
      </c>
    </row>
    <row r="95" spans="1:3" x14ac:dyDescent="0.2">
      <c r="A95" s="12" t="s">
        <v>70</v>
      </c>
      <c r="C95" s="13">
        <v>0.96</v>
      </c>
    </row>
    <row r="96" spans="1:3" x14ac:dyDescent="0.2">
      <c r="A96" s="12" t="s">
        <v>69</v>
      </c>
      <c r="C96" s="13">
        <v>0.98699999999999999</v>
      </c>
    </row>
    <row r="97" spans="1:3" x14ac:dyDescent="0.2">
      <c r="A97" s="12" t="s">
        <v>71</v>
      </c>
      <c r="C97" s="13">
        <v>1.014</v>
      </c>
    </row>
    <row r="98" spans="1:3" x14ac:dyDescent="0.2">
      <c r="A98" s="12" t="s">
        <v>72</v>
      </c>
      <c r="C98" s="13">
        <v>1.0169999999999999</v>
      </c>
    </row>
    <row r="99" spans="1:3" x14ac:dyDescent="0.2">
      <c r="A99" s="12" t="s">
        <v>69</v>
      </c>
      <c r="C99" s="13">
        <v>0.996</v>
      </c>
    </row>
    <row r="100" spans="1:3" x14ac:dyDescent="0.2">
      <c r="A100" s="12" t="s">
        <v>71</v>
      </c>
      <c r="C100" s="13">
        <v>1.0149999999999999</v>
      </c>
    </row>
    <row r="101" spans="1:3" x14ac:dyDescent="0.2">
      <c r="A101" s="12" t="s">
        <v>73</v>
      </c>
      <c r="C101" s="13">
        <v>1.004</v>
      </c>
    </row>
    <row r="102" spans="1:3" x14ac:dyDescent="0.2">
      <c r="A102" s="12" t="s">
        <v>74</v>
      </c>
      <c r="C102" s="13">
        <v>1.0229999999999999</v>
      </c>
    </row>
    <row r="103" spans="1:3" x14ac:dyDescent="0.2">
      <c r="A103" s="12" t="s">
        <v>58</v>
      </c>
      <c r="C103" s="13">
        <v>1.028</v>
      </c>
    </row>
    <row r="104" spans="1:3" x14ac:dyDescent="0.2">
      <c r="A104" s="12" t="s">
        <v>69</v>
      </c>
      <c r="C104" s="13">
        <v>1.03</v>
      </c>
    </row>
    <row r="105" spans="1:3" x14ac:dyDescent="0.2">
      <c r="A105" s="14" t="s">
        <v>69</v>
      </c>
      <c r="B105" s="35"/>
      <c r="C105" s="15">
        <v>1.0029999999999999</v>
      </c>
    </row>
  </sheetData>
  <mergeCells count="5">
    <mergeCell ref="C1:J1"/>
    <mergeCell ref="N1:P1"/>
    <mergeCell ref="Q1:AA1"/>
    <mergeCell ref="AE1:AF1"/>
    <mergeCell ref="AJ1:AK1"/>
  </mergeCells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9D8C8-0ECE-8049-9838-C9F77E1E6B5F}">
  <sheetPr codeName="Sheet3"/>
  <dimension ref="A1:P24"/>
  <sheetViews>
    <sheetView workbookViewId="0">
      <selection activeCell="F29" sqref="F29"/>
    </sheetView>
  </sheetViews>
  <sheetFormatPr baseColWidth="10" defaultRowHeight="16" x14ac:dyDescent="0.2"/>
  <cols>
    <col min="2" max="2" width="22.83203125" bestFit="1" customWidth="1"/>
    <col min="3" max="3" width="11.6640625" customWidth="1"/>
    <col min="4" max="4" width="12.1640625" bestFit="1" customWidth="1"/>
    <col min="6" max="6" width="14.33203125" bestFit="1" customWidth="1"/>
    <col min="8" max="8" width="14.1640625" customWidth="1"/>
    <col min="11" max="11" width="15.83203125" bestFit="1" customWidth="1"/>
    <col min="12" max="12" width="30.1640625" bestFit="1" customWidth="1"/>
    <col min="13" max="13" width="15.83203125" bestFit="1" customWidth="1"/>
    <col min="14" max="14" width="11.6640625" bestFit="1" customWidth="1"/>
  </cols>
  <sheetData>
    <row r="1" spans="1:16" x14ac:dyDescent="0.2">
      <c r="A1" t="s">
        <v>51</v>
      </c>
      <c r="F1" s="40" t="s">
        <v>91</v>
      </c>
      <c r="G1" s="40"/>
      <c r="H1" s="40"/>
      <c r="I1" s="40"/>
      <c r="K1" s="40" t="s">
        <v>104</v>
      </c>
      <c r="L1" s="40"/>
      <c r="M1" s="40"/>
    </row>
    <row r="2" spans="1:16" ht="20" x14ac:dyDescent="0.25">
      <c r="B2" s="1" t="s">
        <v>38</v>
      </c>
      <c r="C2" s="1" t="s">
        <v>39</v>
      </c>
      <c r="D2" s="1" t="s">
        <v>115</v>
      </c>
      <c r="E2" s="1" t="s">
        <v>40</v>
      </c>
      <c r="F2" s="1" t="s">
        <v>109</v>
      </c>
      <c r="G2" s="1" t="s">
        <v>111</v>
      </c>
      <c r="H2" s="1" t="s">
        <v>108</v>
      </c>
      <c r="I2" s="1" t="s">
        <v>112</v>
      </c>
      <c r="J2" s="1" t="s">
        <v>110</v>
      </c>
      <c r="K2" s="1" t="s">
        <v>52</v>
      </c>
      <c r="L2" t="s">
        <v>114</v>
      </c>
      <c r="M2" s="1" t="s">
        <v>102</v>
      </c>
      <c r="N2" s="1" t="s">
        <v>103</v>
      </c>
    </row>
    <row r="3" spans="1:16" x14ac:dyDescent="0.2">
      <c r="A3" s="21" t="s">
        <v>41</v>
      </c>
      <c r="B3" s="28" t="s">
        <v>11</v>
      </c>
      <c r="C3" s="23">
        <v>1200</v>
      </c>
      <c r="D3" s="23">
        <v>9.7796004495440986E-11</v>
      </c>
      <c r="E3" s="23">
        <v>1E-3</v>
      </c>
      <c r="F3" s="23">
        <v>70</v>
      </c>
      <c r="G3" s="23">
        <v>1E-3</v>
      </c>
      <c r="H3" s="24">
        <f>D3*540/(G3^2)</f>
        <v>5.2809842427538133E-2</v>
      </c>
      <c r="I3" s="23">
        <f>F3/2</f>
        <v>35</v>
      </c>
      <c r="J3" s="24">
        <f>I3/1000</f>
        <v>3.5000000000000003E-2</v>
      </c>
      <c r="K3" s="25">
        <f>100*0.0012749787442552</f>
        <v>0.12749787442551999</v>
      </c>
      <c r="L3" s="24">
        <v>5.0298291776540438E-3</v>
      </c>
      <c r="M3" s="23">
        <v>3.94</v>
      </c>
      <c r="N3" s="24">
        <f t="shared" ref="N3:N20" si="0">(M3-(0*(K3/100)))/(1-(K3/100))</f>
        <v>3.945029829177654</v>
      </c>
      <c r="O3" s="4"/>
      <c r="P3" s="4"/>
    </row>
    <row r="4" spans="1:16" x14ac:dyDescent="0.2">
      <c r="A4" s="21" t="s">
        <v>41</v>
      </c>
      <c r="B4" s="28" t="s">
        <v>29</v>
      </c>
      <c r="C4" s="23">
        <v>1228</v>
      </c>
      <c r="D4" s="23">
        <v>1.1920721230370098E-10</v>
      </c>
      <c r="E4" s="23">
        <v>1E-3</v>
      </c>
      <c r="F4" s="23">
        <v>40</v>
      </c>
      <c r="G4" s="23">
        <v>1E-3</v>
      </c>
      <c r="H4" s="24">
        <f t="shared" ref="H4:H20" si="1">D4*540/(G4^2)</f>
        <v>6.4371894643998534E-2</v>
      </c>
      <c r="I4" s="23">
        <f t="shared" ref="I4:I20" si="2">F4/2</f>
        <v>20</v>
      </c>
      <c r="J4" s="24">
        <f t="shared" ref="J4:J20" si="3">I4/1000</f>
        <v>0.02</v>
      </c>
      <c r="K4" s="25">
        <v>0.5</v>
      </c>
      <c r="L4" s="24">
        <v>1.7386934673366827E-2</v>
      </c>
      <c r="M4" s="23">
        <v>3.46</v>
      </c>
      <c r="N4" s="24">
        <f t="shared" si="0"/>
        <v>3.4773869346733668</v>
      </c>
      <c r="O4" s="4"/>
      <c r="P4" s="4"/>
    </row>
    <row r="5" spans="1:16" x14ac:dyDescent="0.2">
      <c r="A5" s="21" t="s">
        <v>41</v>
      </c>
      <c r="B5" s="28" t="s">
        <v>16</v>
      </c>
      <c r="C5" s="23">
        <v>1143</v>
      </c>
      <c r="D5" s="26">
        <v>6.3794268016573431E-11</v>
      </c>
      <c r="E5" s="23">
        <v>1E-3</v>
      </c>
      <c r="F5" s="23">
        <v>50</v>
      </c>
      <c r="G5" s="23">
        <v>1E-3</v>
      </c>
      <c r="H5" s="24">
        <f t="shared" si="1"/>
        <v>3.4448904728949653E-2</v>
      </c>
      <c r="I5" s="23">
        <f t="shared" si="2"/>
        <v>25</v>
      </c>
      <c r="J5" s="24">
        <f t="shared" si="3"/>
        <v>2.5000000000000001E-2</v>
      </c>
      <c r="K5" s="25">
        <v>0</v>
      </c>
      <c r="L5" s="24">
        <v>0</v>
      </c>
      <c r="M5" s="23">
        <v>3.92</v>
      </c>
      <c r="N5" s="24">
        <f t="shared" si="0"/>
        <v>3.92</v>
      </c>
      <c r="O5" s="4"/>
      <c r="P5" s="4"/>
    </row>
    <row r="6" spans="1:16" x14ac:dyDescent="0.2">
      <c r="A6" s="21" t="s">
        <v>41</v>
      </c>
      <c r="B6" s="28" t="s">
        <v>22</v>
      </c>
      <c r="C6" s="23">
        <v>1229</v>
      </c>
      <c r="D6" s="23">
        <v>1.2003669070590513E-10</v>
      </c>
      <c r="E6" s="23">
        <v>1E-3</v>
      </c>
      <c r="F6" s="23">
        <v>58</v>
      </c>
      <c r="G6" s="23">
        <v>1E-3</v>
      </c>
      <c r="H6" s="24">
        <f t="shared" si="1"/>
        <v>6.4819812981188774E-2</v>
      </c>
      <c r="I6" s="23">
        <f t="shared" si="2"/>
        <v>29</v>
      </c>
      <c r="J6" s="24">
        <f t="shared" si="3"/>
        <v>2.9000000000000001E-2</v>
      </c>
      <c r="K6" s="25">
        <f>100*0.00477941438076157</f>
        <v>0.47794143807615697</v>
      </c>
      <c r="L6" s="24">
        <v>1.9881798891892011E-2</v>
      </c>
      <c r="M6" s="23">
        <v>4.1399999999999997</v>
      </c>
      <c r="N6" s="24">
        <f t="shared" si="0"/>
        <v>4.1598817988918917</v>
      </c>
      <c r="O6" s="4"/>
      <c r="P6" s="4"/>
    </row>
    <row r="7" spans="1:16" x14ac:dyDescent="0.2">
      <c r="A7" s="21" t="s">
        <v>41</v>
      </c>
      <c r="B7" s="28" t="s">
        <v>30</v>
      </c>
      <c r="C7" s="23">
        <v>1218</v>
      </c>
      <c r="D7" s="23">
        <v>1.1116435711966414E-10</v>
      </c>
      <c r="E7" s="23">
        <v>1E-3</v>
      </c>
      <c r="F7" s="23">
        <v>64</v>
      </c>
      <c r="G7" s="23">
        <v>1E-3</v>
      </c>
      <c r="H7" s="24">
        <f t="shared" si="1"/>
        <v>6.0028752844618644E-2</v>
      </c>
      <c r="I7" s="23">
        <f t="shared" si="2"/>
        <v>32</v>
      </c>
      <c r="J7" s="24">
        <f t="shared" si="3"/>
        <v>3.2000000000000001E-2</v>
      </c>
      <c r="K7" s="25">
        <v>0.3</v>
      </c>
      <c r="L7" s="24">
        <v>1.1374122367101336E-2</v>
      </c>
      <c r="M7" s="23">
        <v>3.78</v>
      </c>
      <c r="N7" s="24">
        <f t="shared" si="0"/>
        <v>3.7913741223671011</v>
      </c>
      <c r="O7" s="4"/>
      <c r="P7" s="4"/>
    </row>
    <row r="8" spans="1:16" x14ac:dyDescent="0.2">
      <c r="A8" s="21" t="s">
        <v>41</v>
      </c>
      <c r="B8" s="28" t="s">
        <v>31</v>
      </c>
      <c r="C8" s="23">
        <v>1218</v>
      </c>
      <c r="D8" s="23">
        <v>1.1116435711966414E-10</v>
      </c>
      <c r="E8" s="23">
        <v>1E-3</v>
      </c>
      <c r="F8" s="23">
        <v>69</v>
      </c>
      <c r="G8" s="23">
        <v>1E-3</v>
      </c>
      <c r="H8" s="24">
        <f t="shared" si="1"/>
        <v>6.0028752844618644E-2</v>
      </c>
      <c r="I8" s="23">
        <f t="shared" si="2"/>
        <v>34.5</v>
      </c>
      <c r="J8" s="24">
        <f t="shared" si="3"/>
        <v>3.4500000000000003E-2</v>
      </c>
      <c r="K8" s="25">
        <v>0.3</v>
      </c>
      <c r="L8" s="24">
        <v>1.2457372116348786E-2</v>
      </c>
      <c r="M8" s="23">
        <v>4.1399999999999997</v>
      </c>
      <c r="N8" s="24">
        <f t="shared" si="0"/>
        <v>4.1524573721163485</v>
      </c>
      <c r="O8" s="4"/>
      <c r="P8" s="4"/>
    </row>
    <row r="9" spans="1:16" x14ac:dyDescent="0.2">
      <c r="A9" s="21" t="s">
        <v>41</v>
      </c>
      <c r="B9" s="28" t="s">
        <v>24</v>
      </c>
      <c r="C9" s="23">
        <v>1160</v>
      </c>
      <c r="D9" s="23">
        <v>7.272143731122839E-11</v>
      </c>
      <c r="E9" s="23">
        <v>1E-3</v>
      </c>
      <c r="F9" s="23">
        <v>30</v>
      </c>
      <c r="G9" s="23">
        <v>1E-3</v>
      </c>
      <c r="H9" s="24">
        <f t="shared" si="1"/>
        <v>3.9269576148063333E-2</v>
      </c>
      <c r="I9" s="23">
        <f t="shared" si="2"/>
        <v>15</v>
      </c>
      <c r="J9" s="24">
        <f t="shared" si="3"/>
        <v>1.4999999999999999E-2</v>
      </c>
      <c r="K9" s="25">
        <v>0.5</v>
      </c>
      <c r="L9" s="24">
        <v>2.1708542713567702E-2</v>
      </c>
      <c r="M9" s="23">
        <v>4.32</v>
      </c>
      <c r="N9" s="24">
        <f t="shared" si="0"/>
        <v>4.341708542713568</v>
      </c>
      <c r="O9" s="4"/>
      <c r="P9" s="4"/>
    </row>
    <row r="10" spans="1:16" x14ac:dyDescent="0.2">
      <c r="A10" s="21" t="s">
        <v>41</v>
      </c>
      <c r="B10" s="28" t="s">
        <v>12</v>
      </c>
      <c r="C10" s="23">
        <v>1155</v>
      </c>
      <c r="D10" s="23">
        <v>6.9996025190523467E-11</v>
      </c>
      <c r="E10" s="23">
        <v>1E-3</v>
      </c>
      <c r="F10" s="23">
        <v>51</v>
      </c>
      <c r="G10" s="23">
        <v>1E-3</v>
      </c>
      <c r="H10" s="24">
        <f t="shared" si="1"/>
        <v>3.7797853602882674E-2</v>
      </c>
      <c r="I10" s="23">
        <f t="shared" si="2"/>
        <v>25.5</v>
      </c>
      <c r="J10" s="24">
        <f t="shared" si="3"/>
        <v>2.5499999999999998E-2</v>
      </c>
      <c r="K10" s="25">
        <v>1.4999999999999999E-4</v>
      </c>
      <c r="L10" s="24">
        <v>4.5000067498968122E-6</v>
      </c>
      <c r="M10" s="23">
        <v>3</v>
      </c>
      <c r="N10" s="24">
        <f t="shared" si="0"/>
        <v>3.0000045000067499</v>
      </c>
      <c r="O10" s="4"/>
      <c r="P10" s="4"/>
    </row>
    <row r="11" spans="1:16" x14ac:dyDescent="0.2">
      <c r="A11" s="21" t="s">
        <v>41</v>
      </c>
      <c r="B11" s="28" t="s">
        <v>20</v>
      </c>
      <c r="C11" s="23">
        <v>1154</v>
      </c>
      <c r="D11" s="23">
        <v>6.9461093351243509E-11</v>
      </c>
      <c r="E11" s="23">
        <v>1E-3</v>
      </c>
      <c r="F11" s="23">
        <v>152</v>
      </c>
      <c r="G11" s="23">
        <v>1E-3</v>
      </c>
      <c r="H11" s="24">
        <f t="shared" si="1"/>
        <v>3.7508990409671497E-2</v>
      </c>
      <c r="I11" s="23">
        <f t="shared" si="2"/>
        <v>76</v>
      </c>
      <c r="J11" s="24">
        <f t="shared" si="3"/>
        <v>7.5999999999999998E-2</v>
      </c>
      <c r="K11" s="25">
        <f>100*0.00225213377172306</f>
        <v>0.225213377172306</v>
      </c>
      <c r="L11" s="24">
        <v>8.5322814964210458E-3</v>
      </c>
      <c r="M11" s="23">
        <v>3.78</v>
      </c>
      <c r="N11" s="24">
        <f t="shared" si="0"/>
        <v>3.7885322814964209</v>
      </c>
      <c r="O11" s="4"/>
      <c r="P11" s="4"/>
    </row>
    <row r="12" spans="1:16" x14ac:dyDescent="0.2">
      <c r="A12" s="21" t="s">
        <v>41</v>
      </c>
      <c r="B12" s="28" t="s">
        <v>33</v>
      </c>
      <c r="C12" s="23">
        <v>1244</v>
      </c>
      <c r="D12" s="23">
        <v>1.3304845976171588E-10</v>
      </c>
      <c r="E12" s="23">
        <v>1E-3</v>
      </c>
      <c r="F12" s="23">
        <v>65</v>
      </c>
      <c r="G12" s="23">
        <v>1E-3</v>
      </c>
      <c r="H12" s="24">
        <f t="shared" si="1"/>
        <v>7.1846168271326574E-2</v>
      </c>
      <c r="I12" s="23">
        <f t="shared" si="2"/>
        <v>32.5</v>
      </c>
      <c r="J12" s="24">
        <f t="shared" si="3"/>
        <v>3.2500000000000001E-2</v>
      </c>
      <c r="K12" s="25">
        <v>0.8</v>
      </c>
      <c r="L12" s="24">
        <v>2.645161290322573E-2</v>
      </c>
      <c r="M12" s="23">
        <v>3.28</v>
      </c>
      <c r="N12" s="24">
        <f t="shared" si="0"/>
        <v>3.3064516129032255</v>
      </c>
      <c r="O12" s="4"/>
      <c r="P12" s="4"/>
    </row>
    <row r="13" spans="1:16" x14ac:dyDescent="0.2">
      <c r="A13" s="22" t="s">
        <v>42</v>
      </c>
      <c r="B13" s="29" t="s">
        <v>43</v>
      </c>
      <c r="C13" s="20">
        <v>1198</v>
      </c>
      <c r="D13" s="20">
        <v>3.6441035886574889E-10</v>
      </c>
      <c r="E13" s="20">
        <v>1E-3</v>
      </c>
      <c r="F13" s="20">
        <v>50</v>
      </c>
      <c r="G13" s="20">
        <v>1E-3</v>
      </c>
      <c r="H13" s="19">
        <f t="shared" si="1"/>
        <v>0.1967815937875044</v>
      </c>
      <c r="I13" s="20">
        <f t="shared" si="2"/>
        <v>25</v>
      </c>
      <c r="J13" s="19">
        <f t="shared" si="3"/>
        <v>2.5000000000000001E-2</v>
      </c>
      <c r="K13" s="27">
        <f>100*0.210806046</f>
        <v>21.080604600000001</v>
      </c>
      <c r="L13" s="19">
        <v>1.8698094613127256E-2</v>
      </c>
      <c r="M13" s="20">
        <v>7.0000000000000007E-2</v>
      </c>
      <c r="N13" s="19">
        <f t="shared" si="0"/>
        <v>8.8698094613127262E-2</v>
      </c>
      <c r="O13" s="4"/>
      <c r="P13" s="4"/>
    </row>
    <row r="14" spans="1:16" x14ac:dyDescent="0.2">
      <c r="A14" s="22" t="s">
        <v>42</v>
      </c>
      <c r="B14" s="29" t="s">
        <v>44</v>
      </c>
      <c r="C14" s="20">
        <v>1198</v>
      </c>
      <c r="D14" s="20">
        <v>3.6441035886574889E-10</v>
      </c>
      <c r="E14" s="20">
        <v>1E-3</v>
      </c>
      <c r="F14" s="20">
        <v>29</v>
      </c>
      <c r="G14" s="20">
        <v>1E-3</v>
      </c>
      <c r="H14" s="19">
        <f t="shared" si="1"/>
        <v>0.1967815937875044</v>
      </c>
      <c r="I14" s="20">
        <f t="shared" si="2"/>
        <v>14.5</v>
      </c>
      <c r="J14" s="19">
        <f t="shared" si="3"/>
        <v>1.4500000000000001E-2</v>
      </c>
      <c r="K14" s="27">
        <f>100*0.61565463454535</f>
        <v>61.565463454534999</v>
      </c>
      <c r="L14" s="19">
        <v>9.6109596713947004E-2</v>
      </c>
      <c r="M14" s="20">
        <v>0.06</v>
      </c>
      <c r="N14" s="19">
        <f t="shared" si="0"/>
        <v>0.156109596713947</v>
      </c>
      <c r="O14" s="4"/>
      <c r="P14" s="4"/>
    </row>
    <row r="15" spans="1:16" x14ac:dyDescent="0.2">
      <c r="A15" s="22" t="s">
        <v>42</v>
      </c>
      <c r="B15" s="29" t="s">
        <v>45</v>
      </c>
      <c r="C15" s="20">
        <v>1213</v>
      </c>
      <c r="D15" s="20">
        <v>4.0400658057833935E-10</v>
      </c>
      <c r="E15" s="20">
        <v>1E-3</v>
      </c>
      <c r="F15" s="20">
        <v>44</v>
      </c>
      <c r="G15" s="20">
        <v>1E-3</v>
      </c>
      <c r="H15" s="19">
        <f t="shared" si="1"/>
        <v>0.21816355351230327</v>
      </c>
      <c r="I15" s="20">
        <f t="shared" si="2"/>
        <v>22</v>
      </c>
      <c r="J15" s="19">
        <f t="shared" si="3"/>
        <v>2.1999999999999999E-2</v>
      </c>
      <c r="K15" s="27">
        <v>43.7</v>
      </c>
      <c r="L15" s="19">
        <v>0.16300177619893433</v>
      </c>
      <c r="M15" s="20">
        <v>0.21</v>
      </c>
      <c r="N15" s="19">
        <f t="shared" si="0"/>
        <v>0.37300177619893432</v>
      </c>
      <c r="O15" s="4"/>
      <c r="P15" s="4"/>
    </row>
    <row r="16" spans="1:16" x14ac:dyDescent="0.2">
      <c r="A16" s="22" t="s">
        <v>42</v>
      </c>
      <c r="B16" s="29" t="s">
        <v>46</v>
      </c>
      <c r="C16" s="20">
        <v>1197</v>
      </c>
      <c r="D16" s="20">
        <v>3.6188592807985675E-10</v>
      </c>
      <c r="E16" s="20">
        <v>1E-3</v>
      </c>
      <c r="F16" s="20">
        <v>61</v>
      </c>
      <c r="G16" s="20">
        <v>1E-3</v>
      </c>
      <c r="H16" s="19">
        <f t="shared" si="1"/>
        <v>0.19541840116312265</v>
      </c>
      <c r="I16" s="20">
        <f t="shared" si="2"/>
        <v>30.5</v>
      </c>
      <c r="J16" s="19">
        <f t="shared" si="3"/>
        <v>3.0499999999999999E-2</v>
      </c>
      <c r="K16" s="27">
        <f>100*0.207875005483121</f>
        <v>20.787500548312099</v>
      </c>
      <c r="L16" s="19">
        <v>4.9861134688575198E-2</v>
      </c>
      <c r="M16" s="20">
        <v>0.19</v>
      </c>
      <c r="N16" s="19">
        <f t="shared" si="0"/>
        <v>0.2398611346885752</v>
      </c>
      <c r="O16" s="4"/>
      <c r="P16" s="4"/>
    </row>
    <row r="17" spans="1:16" x14ac:dyDescent="0.2">
      <c r="A17" s="22" t="s">
        <v>42</v>
      </c>
      <c r="B17" s="29" t="s">
        <v>47</v>
      </c>
      <c r="C17" s="20">
        <v>1272</v>
      </c>
      <c r="D17" s="20">
        <v>5.9450304216934191E-10</v>
      </c>
      <c r="E17" s="20">
        <v>1E-3</v>
      </c>
      <c r="F17" s="20">
        <v>59</v>
      </c>
      <c r="G17" s="20">
        <v>1E-3</v>
      </c>
      <c r="H17" s="19">
        <f t="shared" si="1"/>
        <v>0.32103164277144464</v>
      </c>
      <c r="I17" s="20">
        <f t="shared" si="2"/>
        <v>29.5</v>
      </c>
      <c r="J17" s="19">
        <f t="shared" si="3"/>
        <v>2.9499999999999998E-2</v>
      </c>
      <c r="K17" s="27">
        <f>100*0.477683270800685</f>
        <v>47.768327080068502</v>
      </c>
      <c r="L17" s="19">
        <v>6.4018299791596678E-2</v>
      </c>
      <c r="M17" s="20">
        <v>7.0000000000000007E-2</v>
      </c>
      <c r="N17" s="19">
        <f t="shared" si="0"/>
        <v>0.13401829979159668</v>
      </c>
      <c r="O17" s="4"/>
      <c r="P17" s="4"/>
    </row>
    <row r="18" spans="1:16" x14ac:dyDescent="0.2">
      <c r="A18" s="22" t="s">
        <v>42</v>
      </c>
      <c r="B18" s="29" t="s">
        <v>48</v>
      </c>
      <c r="C18" s="20">
        <v>1190</v>
      </c>
      <c r="D18" s="20">
        <v>3.446061480868888E-10</v>
      </c>
      <c r="E18" s="20">
        <v>1E-3</v>
      </c>
      <c r="F18" s="20">
        <v>35</v>
      </c>
      <c r="G18" s="20">
        <v>1E-3</v>
      </c>
      <c r="H18" s="19">
        <f t="shared" si="1"/>
        <v>0.18608731996691996</v>
      </c>
      <c r="I18" s="20">
        <f t="shared" si="2"/>
        <v>17.5</v>
      </c>
      <c r="J18" s="19">
        <f t="shared" si="3"/>
        <v>1.7500000000000002E-2</v>
      </c>
      <c r="K18" s="27">
        <v>34.1</v>
      </c>
      <c r="L18" s="19">
        <v>8.7966616084977217E-2</v>
      </c>
      <c r="M18" s="20">
        <v>0.17</v>
      </c>
      <c r="N18" s="19">
        <f t="shared" si="0"/>
        <v>0.25796661608497723</v>
      </c>
      <c r="O18" s="4"/>
      <c r="P18" s="4"/>
    </row>
    <row r="19" spans="1:16" x14ac:dyDescent="0.2">
      <c r="A19" s="22" t="s">
        <v>42</v>
      </c>
      <c r="B19" s="29" t="s">
        <v>49</v>
      </c>
      <c r="C19" s="20">
        <v>1208</v>
      </c>
      <c r="D19" s="20">
        <v>3.8248064554587989E-10</v>
      </c>
      <c r="E19" s="20">
        <v>1E-3</v>
      </c>
      <c r="F19" s="20">
        <v>62</v>
      </c>
      <c r="G19" s="20">
        <v>1E-3</v>
      </c>
      <c r="H19" s="19">
        <f t="shared" si="1"/>
        <v>0.20653954859477516</v>
      </c>
      <c r="I19" s="20">
        <f t="shared" si="2"/>
        <v>31</v>
      </c>
      <c r="J19" s="19">
        <f t="shared" si="3"/>
        <v>3.1E-2</v>
      </c>
      <c r="K19" s="27">
        <f>100*0.231864239907431</f>
        <v>23.186423990743098</v>
      </c>
      <c r="L19" s="19">
        <v>4.5277980525113559E-2</v>
      </c>
      <c r="M19" s="20">
        <v>0.15</v>
      </c>
      <c r="N19" s="19">
        <f t="shared" si="0"/>
        <v>0.19527798052511355</v>
      </c>
      <c r="O19" s="4"/>
      <c r="P19" s="4"/>
    </row>
    <row r="20" spans="1:16" x14ac:dyDescent="0.2">
      <c r="A20" s="22" t="s">
        <v>42</v>
      </c>
      <c r="B20" s="29" t="s">
        <v>50</v>
      </c>
      <c r="C20" s="20">
        <v>1142</v>
      </c>
      <c r="D20" s="20">
        <v>2.431951849760159E-10</v>
      </c>
      <c r="E20" s="20">
        <v>1E-3</v>
      </c>
      <c r="F20" s="20">
        <v>53</v>
      </c>
      <c r="G20" s="20">
        <v>1E-3</v>
      </c>
      <c r="H20" s="19">
        <f t="shared" si="1"/>
        <v>0.13132539988704861</v>
      </c>
      <c r="I20" s="20">
        <f t="shared" si="2"/>
        <v>26.5</v>
      </c>
      <c r="J20" s="19">
        <f t="shared" si="3"/>
        <v>2.6499999999999999E-2</v>
      </c>
      <c r="K20" s="27">
        <f>-2083.4*H20^3+1434.1*H20^2-67.569*H20+0.2893</f>
        <v>11.43011802522981</v>
      </c>
      <c r="L20" s="19">
        <v>5.9363907621593659E-2</v>
      </c>
      <c r="M20" s="20">
        <v>0.46</v>
      </c>
      <c r="N20" s="19">
        <f t="shared" si="0"/>
        <v>0.51936390762159368</v>
      </c>
      <c r="O20" s="4"/>
      <c r="P20" s="4"/>
    </row>
    <row r="23" spans="1:16" x14ac:dyDescent="0.2">
      <c r="A23" s="9" t="s">
        <v>105</v>
      </c>
      <c r="B23" t="s">
        <v>107</v>
      </c>
    </row>
    <row r="24" spans="1:16" x14ac:dyDescent="0.2">
      <c r="A24" s="9" t="s">
        <v>106</v>
      </c>
    </row>
  </sheetData>
  <mergeCells count="2">
    <mergeCell ref="F1:I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H2O correction and MafiCH press</vt:lpstr>
      <vt:lpstr>H-diffusive experiments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Esposito</dc:creator>
  <cp:lastModifiedBy>Rosario Esposito</cp:lastModifiedBy>
  <dcterms:created xsi:type="dcterms:W3CDTF">2022-09-27T15:13:26Z</dcterms:created>
  <dcterms:modified xsi:type="dcterms:W3CDTF">2023-07-12T16:01:36Z</dcterms:modified>
</cp:coreProperties>
</file>